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yurikohino\Desktop\家計基準関係\"/>
    </mc:Choice>
  </mc:AlternateContent>
  <xr:revisionPtr revIDLastSave="0" documentId="13_ncr:1_{DBAF04C2-F657-4E30-A5FB-CE94A04E686B}" xr6:coauthVersionLast="47" xr6:coauthVersionMax="47" xr10:uidLastSave="{00000000-0000-0000-0000-000000000000}"/>
  <workbookProtection workbookAlgorithmName="SHA-512" workbookHashValue="GwU81JgID5QTtQiK5usl5hpiHh6ux3GogT3/zkOuvEOyh/jAIvjzg25Ah1qKDpQAtfV9aoBVponh/KDsCNbNzA==" workbookSaltValue="G+E+p1nYPZJvlPpul45M+w==" workbookSpinCount="100000" lockStructure="1"/>
  <bookViews>
    <workbookView xWindow="-108" yWindow="-108" windowWidth="23256" windowHeight="12576" xr2:uid="{00000000-000D-0000-FFFF-FFFF00000000}"/>
  </bookViews>
  <sheets>
    <sheet name="入力シート" sheetId="2" r:id="rId1"/>
    <sheet name="入力例及び課税証明書の例を用いた入力項目の案内" sheetId="6" r:id="rId2"/>
    <sheet name="リストボックス" sheetId="4" state="hidden" r:id="rId3"/>
    <sheet name="計算シート" sheetId="5" state="hidden" r:id="rId4"/>
    <sheet name="修正履歴" sheetId="7" state="hidden" r:id="rId5"/>
  </sheets>
  <definedNames>
    <definedName name="_xlnm.Print_Area" localSheetId="0">入力シート!$A$1:$H$38</definedName>
    <definedName name="_xlnm.Print_Area" localSheetId="1">入力例及び課税証明書の例を用いた入力項目の案内!$A$1:$U$38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5" l="1"/>
  <c r="C42" i="5"/>
  <c r="B42" i="5"/>
  <c r="B17" i="5"/>
  <c r="B6" i="5"/>
  <c r="B5" i="5"/>
  <c r="B35" i="5" l="1"/>
  <c r="B4" i="5"/>
  <c r="F10" i="2" l="1"/>
  <c r="F10" i="6"/>
  <c r="B34" i="5"/>
  <c r="U1" i="6" l="1"/>
  <c r="G1" i="6"/>
  <c r="B29" i="5" l="1"/>
  <c r="B3" i="5" l="1"/>
  <c r="B26" i="5" l="1"/>
  <c r="D18" i="5"/>
  <c r="C18" i="5"/>
  <c r="B18" i="5"/>
  <c r="G1" i="2" l="1"/>
  <c r="D18" i="2" l="1"/>
  <c r="B7" i="5" l="1"/>
  <c r="D17" i="5"/>
  <c r="C17" i="5"/>
  <c r="D14" i="5"/>
  <c r="C14" i="5"/>
  <c r="B14" i="5"/>
  <c r="D11" i="5"/>
  <c r="D22" i="5" s="1"/>
  <c r="C11" i="5"/>
  <c r="C22" i="5" s="1"/>
  <c r="B11" i="5"/>
  <c r="B22" i="5" s="1"/>
  <c r="D10" i="5"/>
  <c r="C10" i="5"/>
  <c r="B10" i="5"/>
  <c r="B2" i="5"/>
  <c r="B33" i="5" s="1"/>
  <c r="F11" i="6" l="1"/>
  <c r="F11" i="2"/>
  <c r="B8" i="5"/>
  <c r="B14" i="2" s="1"/>
  <c r="D21" i="5"/>
  <c r="C21" i="5"/>
  <c r="B21" i="5"/>
  <c r="D15" i="5"/>
  <c r="C15" i="5"/>
  <c r="B15" i="5"/>
  <c r="D13" i="5"/>
  <c r="G32" i="2" s="1"/>
  <c r="C13" i="5"/>
  <c r="F32" i="2" s="1"/>
  <c r="B13" i="5"/>
  <c r="E32" i="2" s="1"/>
  <c r="D12" i="5"/>
  <c r="C12" i="5"/>
  <c r="B12" i="5"/>
  <c r="D9" i="5" l="1"/>
  <c r="D19" i="5" s="1"/>
  <c r="B27" i="5"/>
  <c r="C20" i="2"/>
  <c r="B28" i="5"/>
  <c r="B16" i="5"/>
  <c r="E34" i="2" s="1"/>
  <c r="C16" i="5"/>
  <c r="F34" i="2" s="1"/>
  <c r="D16" i="5"/>
  <c r="G34" i="2" s="1"/>
  <c r="F33" i="2"/>
  <c r="E33" i="2"/>
  <c r="G33" i="2"/>
  <c r="B9" i="5"/>
  <c r="B19" i="5" s="1"/>
  <c r="C9" i="5"/>
  <c r="B30" i="5" l="1"/>
  <c r="C19" i="5"/>
  <c r="C20" i="5" s="1"/>
  <c r="D20" i="5"/>
  <c r="G31" i="2" s="1"/>
  <c r="B20" i="5"/>
  <c r="E31" i="2" s="1"/>
  <c r="F31" i="2" l="1"/>
  <c r="C23" i="5"/>
  <c r="C24" i="5" s="1"/>
  <c r="D23" i="5"/>
  <c r="B23" i="5"/>
  <c r="B24" i="5" s="1"/>
  <c r="B31" i="5" l="1"/>
  <c r="B32" i="5" s="1"/>
  <c r="C31" i="5"/>
  <c r="D24" i="5"/>
  <c r="G35" i="2" s="1"/>
  <c r="E35" i="2" l="1"/>
  <c r="C32" i="5"/>
  <c r="F35" i="2" s="1"/>
  <c r="B36" i="5" l="1"/>
  <c r="B25" i="5"/>
  <c r="B39" i="5" l="1"/>
  <c r="B37" i="5"/>
  <c r="B38" i="5"/>
  <c r="B40" i="5" s="1"/>
  <c r="E36" i="2"/>
  <c r="E37" i="2" l="1"/>
</calcChain>
</file>

<file path=xl/sharedStrings.xml><?xml version="1.0" encoding="utf-8"?>
<sst xmlns="http://schemas.openxmlformats.org/spreadsheetml/2006/main" count="283" uniqueCount="163">
  <si>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</si>
  <si>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</si>
  <si>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</si>
  <si>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</si>
  <si>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</si>
  <si>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</si>
  <si>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</si>
  <si>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</si>
  <si>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</si>
  <si>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</si>
  <si>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</si>
  <si>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</si>
  <si>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</si>
  <si>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</si>
  <si>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</si>
  <si>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</si>
  <si>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</si>
  <si>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</si>
  <si>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</si>
  <si>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</si>
  <si>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</si>
  <si>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</si>
  <si>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</si>
  <si>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</si>
  <si>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</si>
  <si>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</si>
  <si>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</si>
  <si>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</si>
  <si>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</si>
  <si>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</si>
  <si>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</si>
  <si>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</si>
  <si>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</si>
  <si>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</si>
  <si>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</si>
  <si>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</si>
  <si>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</si>
  <si>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</si>
  <si>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</si>
  <si>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</si>
  <si>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</si>
  <si>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</si>
  <si>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</si>
  <si>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</si>
  <si>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</si>
  <si>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</si>
  <si>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</si>
  <si>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</si>
  <si>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</si>
  <si>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</si>
  <si>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</si>
  <si>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</si>
  <si>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</si>
  <si>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</si>
  <si>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</si>
  <si>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</si>
  <si>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</si>
  <si>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２人</t>
    <rPh sb="1" eb="2">
      <t>ニン</t>
    </rPh>
    <phoneticPr fontId="1"/>
  </si>
  <si>
    <t>１人</t>
    <rPh sb="1" eb="2">
      <t>ニン</t>
    </rPh>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</si>
  <si>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</si>
  <si>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</si>
  <si>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</si>
  <si>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</si>
  <si>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</si>
  <si>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</si>
  <si>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</si>
  <si>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</si>
  <si>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</si>
  <si>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</si>
  <si>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</si>
  <si>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</si>
  <si>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</si>
  <si>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</si>
  <si>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</si>
  <si>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</si>
  <si>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</si>
  <si>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</si>
  <si>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</si>
  <si>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</si>
  <si>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</si>
  <si>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</si>
  <si>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</si>
  <si>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</si>
  <si>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</si>
  <si>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</si>
  <si>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</si>
  <si>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</si>
  <si>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</si>
  <si>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</si>
  <si>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</si>
  <si>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</si>
  <si>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Ⅱ．地方税情報</t>
    <rPh sb="2" eb="5">
      <t>チホウゼイ</t>
    </rPh>
    <rPh sb="5" eb="7">
      <t>ジョウホウ</t>
    </rPh>
    <phoneticPr fontId="1"/>
  </si>
  <si>
    <t>黄色いセルは数値を入力、青いセルは該当するものを選択してください。</t>
    <rPh sb="0" eb="2">
      <t>キイロ</t>
    </rPh>
    <rPh sb="6" eb="8">
      <t>スウチ</t>
    </rPh>
    <rPh sb="9" eb="11">
      <t>ニュウリョク</t>
    </rPh>
    <rPh sb="12" eb="13">
      <t>アオ</t>
    </rPh>
    <rPh sb="17" eb="19">
      <t>ガイトウ</t>
    </rPh>
    <rPh sb="24" eb="26">
      <t>センタク</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</si>
  <si>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</si>
  <si>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</si>
  <si>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※申請する（申請した）年度
　（適格認定の場合は、認定の年度）</t>
    <rPh sb="1" eb="3">
      <t>シンセイ</t>
    </rPh>
    <rPh sb="6" eb="8">
      <t>シンセイ</t>
    </rPh>
    <rPh sb="11" eb="13">
      <t>ネンド</t>
    </rPh>
    <rPh sb="16" eb="18">
      <t>テキカク</t>
    </rPh>
    <rPh sb="18" eb="20">
      <t>ニンテイ</t>
    </rPh>
    <rPh sb="21" eb="23">
      <t>バアイ</t>
    </rPh>
    <rPh sb="25" eb="27">
      <t>ニンテイ</t>
    </rPh>
    <rPh sb="28" eb="30">
      <t>ネンド</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</si>
  <si>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</si>
  <si>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</si>
  <si>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</si>
  <si>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</si>
  <si>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</si>
  <si>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</si>
  <si>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</si>
  <si>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</si>
  <si>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</si>
  <si>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</si>
  <si>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</si>
  <si>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</si>
  <si>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</si>
  <si>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入力にあたっては、別シート「入力例」もご覧ください。</t>
    <rPh sb="0" eb="2">
      <t>ニュウリョク</t>
    </rPh>
    <rPh sb="9" eb="10">
      <t>ベツ</t>
    </rPh>
    <rPh sb="14" eb="16">
      <t>ニュウリョク</t>
    </rPh>
    <rPh sb="16" eb="17">
      <t>レイ</t>
    </rPh>
    <rPh sb="20" eb="21">
      <t>ラン</t>
    </rPh>
    <phoneticPr fontId="1"/>
  </si>
  <si>
    <t>【課税証明書の例を用いた入力項目の案内】</t>
    <rPh sb="17" eb="19">
      <t>アンナイ</t>
    </rPh>
    <phoneticPr fontId="1"/>
  </si>
  <si>
    <t>課税証明書（所得証明書）は、2023年度（2022年分）のものを用意してください。</t>
    <phoneticPr fontId="1"/>
  </si>
  <si>
    <t>2023年1月1日時点の生活保護法の
生活扶助の受給</t>
    <phoneticPr fontId="1"/>
  </si>
  <si>
    <t>控除対象寡婦・ひとり親</t>
    <rPh sb="0" eb="2">
      <t>コウジョ</t>
    </rPh>
    <rPh sb="2" eb="4">
      <t>タイショウ</t>
    </rPh>
    <rPh sb="4" eb="6">
      <t>カフ</t>
    </rPh>
    <rPh sb="10" eb="11">
      <t>オヤ</t>
    </rPh>
    <phoneticPr fontId="1"/>
  </si>
  <si>
    <r>
      <t>ツール入力項目等との関係を赤丸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カンケイ</t>
    </rPh>
    <rPh sb="13" eb="15">
      <t>アカマル</t>
    </rPh>
    <rPh sb="16" eb="17">
      <t>ナイ</t>
    </rPh>
    <rPh sb="18" eb="20">
      <t>スウジ</t>
    </rPh>
    <rPh sb="21" eb="23">
      <t>セツメイ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</si>
  <si>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</si>
  <si>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</si>
  <si>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</si>
  <si>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</si>
  <si>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</si>
  <si>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</si>
  <si>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算定基準額(早生まれ適用後)</t>
    <rPh sb="0" eb="2">
      <t>サンテイ</t>
    </rPh>
    <rPh sb="2" eb="4">
      <t>キジュン</t>
    </rPh>
    <rPh sb="4" eb="5">
      <t>ガク</t>
    </rPh>
    <rPh sb="6" eb="8">
      <t>ハヤウ</t>
    </rPh>
    <rPh sb="10" eb="12">
      <t>テキヨウ</t>
    </rPh>
    <rPh sb="12" eb="13">
      <t>ゴ</t>
    </rPh>
    <phoneticPr fontId="1"/>
  </si>
  <si>
    <t>算定基準額</t>
    <rPh sb="0" eb="2">
      <t>サンテイ</t>
    </rPh>
    <rPh sb="2" eb="4">
      <t>キジュン</t>
    </rPh>
    <rPh sb="4" eb="5">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</si>
  <si>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</si>
  <si>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</si>
  <si>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</si>
  <si>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</si>
  <si>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</si>
  <si>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</si>
  <si>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貸与額算定基準額（円）</t>
    <rPh sb="0" eb="2">
      <t>タイヨ</t>
    </rPh>
    <rPh sb="2" eb="3">
      <t>ガク</t>
    </rPh>
    <rPh sb="3" eb="5">
      <t>サンテイ</t>
    </rPh>
    <rPh sb="5" eb="7">
      <t>キジュン</t>
    </rPh>
    <rPh sb="7" eb="8">
      <t>ガク</t>
    </rPh>
    <rPh sb="9" eb="10">
      <t>エン</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</si>
  <si>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</si>
  <si>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</si>
  <si>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</si>
  <si>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家計基準が適格となる種別</t>
    <rPh sb="0" eb="2">
      <t>カケイ</t>
    </rPh>
    <rPh sb="2" eb="4">
      <t>キジュン</t>
    </rPh>
    <rPh sb="5" eb="7">
      <t>テキカク</t>
    </rPh>
    <rPh sb="10" eb="12">
      <t>シュベツ</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</si>
  <si>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</si>
  <si>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</si>
  <si>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</si>
  <si>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結果</t>
    <rPh sb="0" eb="2">
      <t>ケッカ</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</si>
  <si>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</si>
  <si>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</si>
  <si>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世帯の貸与額算定基準額（円）</t>
    <rPh sb="0" eb="2">
      <t>セタイ</t>
    </rPh>
    <rPh sb="3" eb="11">
      <t>タイヨガクサンテイキジュンガク</t>
    </rPh>
    <rPh sb="12" eb="13">
      <t>エン</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</si>
  <si>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</si>
  <si>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</si>
  <si>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</si>
  <si>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</si>
  <si>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</si>
  <si>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</si>
  <si>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貸与額算定基準額（円）</t>
    <rPh sb="0" eb="8">
      <t>タイヨガクサンテイキジュンガク</t>
    </rPh>
    <rPh sb="3" eb="5">
      <t>サンテイ</t>
    </rPh>
    <rPh sb="5" eb="7">
      <t>キジュン</t>
    </rPh>
    <rPh sb="7" eb="8">
      <t>ガク</t>
    </rPh>
    <rPh sb="9" eb="10">
      <t>エン</t>
    </rPh>
    <phoneticPr fontId="1"/>
  </si>
  <si>
    <t>私立自宅外</t>
    <rPh sb="0" eb="2">
      <t>シリツ</t>
    </rPh>
    <rPh sb="2" eb="5">
      <t>ジタクガイ</t>
    </rPh>
    <phoneticPr fontId="1"/>
  </si>
  <si>
    <t>私立自宅外</t>
    <rPh sb="0" eb="2">
      <t>シリツ</t>
    </rPh>
    <rPh sb="2" eb="5">
      <t>ジタクガイ</t>
    </rPh>
    <phoneticPr fontId="1"/>
  </si>
  <si>
    <t>該当する</t>
    <rPh sb="0" eb="2">
      <t>ガイトウ</t>
    </rPh>
    <phoneticPr fontId="1"/>
  </si>
  <si>
    <t>該当しない</t>
    <rPh sb="0" eb="2">
      <t>ガイトウ</t>
    </rPh>
    <phoneticPr fontId="1"/>
  </si>
  <si>
    <t>＊テスト＊私立自宅外控除</t>
    <rPh sb="5" eb="7">
      <t>シリツ</t>
    </rPh>
    <rPh sb="7" eb="9">
      <t>ジタク</t>
    </rPh>
    <rPh sb="9" eb="10">
      <t>ガイ</t>
    </rPh>
    <rPh sb="10" eb="12">
      <t>コウジョ</t>
    </rPh>
    <phoneticPr fontId="1"/>
  </si>
  <si>
    <t>トビタテ！留学JAPAN【大学生等対象】2024年度（第16期）応募用</t>
    <phoneticPr fontId="1"/>
  </si>
  <si>
    <t>本ツールによる判定結果が「家計基準内」であっても、「第二種奨学金（在学採用）」の選考結果は</t>
    <rPh sb="0" eb="1">
      <t>ホン</t>
    </rPh>
    <rPh sb="7" eb="9">
      <t>ハンテイ</t>
    </rPh>
    <rPh sb="9" eb="11">
      <t>ケッカ</t>
    </rPh>
    <rPh sb="13" eb="15">
      <t>カケイ</t>
    </rPh>
    <rPh sb="15" eb="17">
      <t>キジュン</t>
    </rPh>
    <rPh sb="17" eb="18">
      <t>ナイ</t>
    </rPh>
    <rPh sb="26" eb="29">
      <t>ダイニシュ</t>
    </rPh>
    <rPh sb="29" eb="32">
      <t>ショウガクキン</t>
    </rPh>
    <rPh sb="33" eb="35">
      <t>ザイガク</t>
    </rPh>
    <rPh sb="35" eb="37">
      <t>サイヨウ</t>
    </rPh>
    <rPh sb="40" eb="42">
      <t>センコウ</t>
    </rPh>
    <rPh sb="42" eb="44">
      <t>ケッカ</t>
    </rPh>
    <phoneticPr fontId="1"/>
  </si>
  <si>
    <t>異なる可能性がありますので、ご了承ください。</t>
  </si>
  <si>
    <r>
      <rPr>
        <u/>
        <sz val="11"/>
        <color theme="1"/>
        <rFont val="ＭＳ Ｐゴシック"/>
        <family val="3"/>
        <charset val="128"/>
        <scheme val="minor"/>
      </rPr>
      <t>第二種奨学金の家計基準に適格</t>
    </r>
    <r>
      <rPr>
        <sz val="11"/>
        <color theme="1"/>
        <rFont val="ＭＳ Ｐゴシック"/>
        <family val="2"/>
        <scheme val="minor"/>
      </rPr>
      <t>または</t>
    </r>
    <r>
      <rPr>
        <u/>
        <sz val="11"/>
        <color theme="1"/>
        <rFont val="ＭＳ Ｐゴシック"/>
        <family val="3"/>
        <charset val="128"/>
        <scheme val="minor"/>
      </rPr>
      <t>家計基準不適格</t>
    </r>
    <r>
      <rPr>
        <sz val="11"/>
        <color theme="1"/>
        <rFont val="ＭＳ Ｐゴシック"/>
        <family val="3"/>
        <charset val="128"/>
        <scheme val="minor"/>
      </rPr>
      <t>が表示</t>
    </r>
    <rPh sb="25" eb="27">
      <t>ヒョウジ</t>
    </rPh>
    <phoneticPr fontId="1"/>
  </si>
  <si>
    <r>
      <t xml:space="preserve">対象の年度（西暦４桁）
</t>
    </r>
    <r>
      <rPr>
        <b/>
        <sz val="10"/>
        <color theme="1"/>
        <rFont val="ＭＳ Ｐゴシック"/>
        <family val="3"/>
        <charset val="128"/>
        <scheme val="minor"/>
      </rPr>
      <t>※「2024」のまま使用してください</t>
    </r>
    <rPh sb="0" eb="2">
      <t>タイショウ</t>
    </rPh>
    <rPh sb="3" eb="5">
      <t>ネンド</t>
    </rPh>
    <rPh sb="6" eb="8">
      <t>セイレキ</t>
    </rPh>
    <rPh sb="9" eb="10">
      <t>ケタ</t>
    </rPh>
    <rPh sb="22" eb="24">
      <t>シヨウ</t>
    </rPh>
    <phoneticPr fontId="1"/>
  </si>
  <si>
    <r>
      <t xml:space="preserve">区分
</t>
    </r>
    <r>
      <rPr>
        <b/>
        <sz val="9"/>
        <color theme="1"/>
        <rFont val="ＭＳ Ｐゴシック"/>
        <family val="3"/>
        <charset val="128"/>
        <scheme val="minor"/>
      </rPr>
      <t>※「春の大学等在学採用」のまま使用してください</t>
    </r>
    <rPh sb="0" eb="2">
      <t>クブン</t>
    </rPh>
    <rPh sb="5" eb="6">
      <t>ハル</t>
    </rPh>
    <rPh sb="7" eb="9">
      <t>ダイガク</t>
    </rPh>
    <rPh sb="9" eb="10">
      <t>トウ</t>
    </rPh>
    <rPh sb="10" eb="12">
      <t>ザイガク</t>
    </rPh>
    <rPh sb="12" eb="14">
      <t>サイヨウ</t>
    </rPh>
    <rPh sb="18" eb="20">
      <t>シヨウ</t>
    </rPh>
    <phoneticPr fontId="1"/>
  </si>
  <si>
    <r>
      <t xml:space="preserve">申請した貸与奨学金の種別
</t>
    </r>
    <r>
      <rPr>
        <b/>
        <sz val="10"/>
        <color theme="1"/>
        <rFont val="ＭＳ Ｐゴシック"/>
        <family val="3"/>
        <charset val="128"/>
        <scheme val="minor"/>
      </rPr>
      <t>※「第二種奨学金」のまま使用してください</t>
    </r>
    <rPh sb="0" eb="2">
      <t>シンセイ</t>
    </rPh>
    <rPh sb="4" eb="6">
      <t>タイヨ</t>
    </rPh>
    <rPh sb="6" eb="9">
      <t>ショウガクキン</t>
    </rPh>
    <rPh sb="10" eb="12">
      <t>シュベツ</t>
    </rPh>
    <rPh sb="15" eb="17">
      <t>ダイニ</t>
    </rPh>
    <rPh sb="17" eb="18">
      <t>シュ</t>
    </rPh>
    <rPh sb="18" eb="21">
      <t>ショウガクキン</t>
    </rPh>
    <rPh sb="25" eb="27">
      <t>シヨウ</t>
    </rPh>
    <phoneticPr fontId="1"/>
  </si>
  <si>
    <t>家計基準判定ツール（大学院以外用）</t>
    <rPh sb="0" eb="2">
      <t>カケイ</t>
    </rPh>
    <rPh sb="2" eb="4">
      <t>キジュン</t>
    </rPh>
    <rPh sb="4" eb="6">
      <t>ハンテイ</t>
    </rPh>
    <rPh sb="10" eb="12">
      <t>ダイガク</t>
    </rPh>
    <rPh sb="12" eb="13">
      <t>イン</t>
    </rPh>
    <rPh sb="13" eb="15">
      <t>イガイ</t>
    </rPh>
    <rPh sb="15" eb="16">
      <t>ヨウ</t>
    </rPh>
    <phoneticPr fontId="1"/>
  </si>
  <si>
    <t>・本ツールに正確に情報を入力するには、申込者の生計維持者それぞれの、市町村民税の課税証明書（自治体によっては「所得証明書」。以下同様。）又はマイナポータルにログインしていただき取得していただいた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・ツール内部の詳しい計算方法については、本機構が別に公表している「貸与額算定基準額の計算手順（確認シート）」もご覧ください。</t>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398">
      <t>タイヨ</t>
    </rPh>
    <phoneticPr fontId="1"/>
  </si>
  <si>
    <r>
      <t>【各項目の説明】</t>
    </r>
    <r>
      <rPr>
        <b/>
        <u/>
        <sz val="11"/>
        <color rgb="FF0000FF"/>
        <rFont val="ＭＳ Ｐゴシック"/>
        <family val="3"/>
        <charset val="128"/>
        <scheme val="minor"/>
      </rPr>
      <t>★トビタテの家計基準の判定では、③～⑱を実施してください★</t>
    </r>
    <r>
      <rPr>
        <sz val="11"/>
        <rFont val="ＭＳ Ｐゴシック"/>
        <family val="2"/>
        <scheme val="minor"/>
      </rPr>
      <t xml:space="preserve">
</t>
    </r>
    <r>
      <rPr>
        <strike/>
        <sz val="11"/>
        <rFont val="ＭＳ Ｐゴシック"/>
        <family val="3"/>
        <charset val="128"/>
        <scheme val="minor"/>
      </rPr>
      <t>①「第一種奨学金」「第二種奨学金」「第一種と第二種の両方」の中から、申請した貸与奨学金の種別を選びます。</t>
    </r>
    <r>
      <rPr>
        <sz val="11"/>
        <rFont val="ＭＳ Ｐゴシック"/>
        <family val="3"/>
        <charset val="128"/>
        <scheme val="minor"/>
      </rPr>
      <t xml:space="preserve">
</t>
    </r>
    <r>
      <rPr>
        <strike/>
        <sz val="11"/>
        <rFont val="ＭＳ Ｐゴシック"/>
        <family val="3"/>
        <charset val="128"/>
        <scheme val="minor"/>
      </rPr>
      <t>②①で「両方」を選んだ場合、第一種と第二種のどちらを優先するかを選びます。</t>
    </r>
    <r>
      <rPr>
        <sz val="11"/>
        <rFont val="ＭＳ Ｐゴシック"/>
        <family val="3"/>
        <charset val="128"/>
        <scheme val="minor"/>
      </rPr>
      <t xml:space="preserve">
③奨学金の申込時等に設定した生計維持者の数を「２人」「１人」「独立生計」から選びます。
④③で「１人」を選んだ場合、生計維持者の続柄を選びます。
⑤課税証明書の「合計所得金額」を入力します。
⑥課税証明書に記載されている方が、課税証明書における障がい者か、寡婦・ひとり親であれば、該当する旨を選択します。
⑦課税証明書に記載されている方の生年月日を入力します。
⑧課税証明書に記載されている方がその税の年度の初日の属する年の１月１日に生活扶助を受給している場合、その旨を選択します。
⑨課税証明書の「繰越控除」を入力します。証明書上に存在しない場合、「合計所得金額」から「総所得金額等」を引いた額を入力します。
⑩課税証明書で「配偶者控除」に該当している場合、その旨を選択します。
⑪課税証明書の「扶養控除」の内訳（人数）を入力します。「その他」がある場合は「一般」に数えます。
⑫課税証明書の「16歳未満扶養親族」の人数を入力します。
⑬課税証明書の「課税標準額」を入力します。存在しない場合、「課税総所得金額」など「課税○○金額」を全て合計した額を入力します。
⑭課税証明書の「市（区）町村民税の調整控除額」を入力します。「（都）道府県民税の調整控除額」や「税源移譲前の額」は入力しません。
⑮課税証明書の発行者（市町村民税を賦課した地方公共団体）が政令指定都市である場合には、その旨を選択します。
⑯この生計維持者が扶養している子どもの人数を入力します。
⑰私立自宅外に該当するかどうかを選択します。E38,F38,G38セルのいずれかが「該当する」になっている場合、控除が適用されますので、「該当しない」場合は、黒く塗りつぶされているセルも含めE38,F38,G38セルすべて「該当しない」を選択してください。
⑱⑤～⑰の手順を全ての生計維持者について入力すると、ここに結果が表示されます。「第二種奨学金の家計基準に適格」は家計基準内、「</t>
    </r>
    <r>
      <rPr>
        <sz val="11"/>
        <rFont val="ＭＳ Ｐゴシック"/>
        <family val="2"/>
        <scheme val="minor"/>
      </rPr>
      <t>家計基準不適格」は家計基準外となります。</t>
    </r>
    <rPh sb="14" eb="16">
      <t>カケイ</t>
    </rPh>
    <rPh sb="16" eb="18">
      <t>キジュン</t>
    </rPh>
    <rPh sb="19" eb="21">
      <t>ハンテイ</t>
    </rPh>
    <rPh sb="28" eb="30">
      <t>ジッシ</t>
    </rPh>
    <rPh sb="40" eb="46">
      <t>ダイイッシュショウガクキン</t>
    </rPh>
    <rPh sb="48" eb="50">
      <t>ダイニ</t>
    </rPh>
    <rPh sb="50" eb="51">
      <t>シュ</t>
    </rPh>
    <rPh sb="51" eb="54">
      <t>ショウガクキン</t>
    </rPh>
    <rPh sb="56" eb="59">
      <t>ダイイッシュ</t>
    </rPh>
    <rPh sb="60" eb="63">
      <t>ダイニシュ</t>
    </rPh>
    <rPh sb="64" eb="66">
      <t>リョウホウ</t>
    </rPh>
    <rPh sb="68" eb="69">
      <t>ナカ</t>
    </rPh>
    <rPh sb="72" eb="74">
      <t>シンセイ</t>
    </rPh>
    <rPh sb="76" eb="78">
      <t>タイヨ</t>
    </rPh>
    <rPh sb="78" eb="81">
      <t>ショウガクキン</t>
    </rPh>
    <rPh sb="82" eb="84">
      <t>シュベツ</t>
    </rPh>
    <rPh sb="85" eb="86">
      <t>エラ</t>
    </rPh>
    <rPh sb="95" eb="97">
      <t>リョウホウ</t>
    </rPh>
    <rPh sb="99" eb="100">
      <t>エラ</t>
    </rPh>
    <rPh sb="102" eb="104">
      <t>バアイ</t>
    </rPh>
    <rPh sb="105" eb="108">
      <t>ダイイッシュ</t>
    </rPh>
    <rPh sb="109" eb="111">
      <t>ダイニ</t>
    </rPh>
    <rPh sb="111" eb="112">
      <t>シュ</t>
    </rPh>
    <rPh sb="117" eb="119">
      <t>ユウセン</t>
    </rPh>
    <rPh sb="123" eb="124">
      <t>エラ</t>
    </rPh>
    <rPh sb="130" eb="133">
      <t>ショウガクキン</t>
    </rPh>
    <rPh sb="134" eb="136">
      <t>モウシコミ</t>
    </rPh>
    <rPh sb="136" eb="137">
      <t>ジ</t>
    </rPh>
    <rPh sb="137" eb="138">
      <t>トウ</t>
    </rPh>
    <rPh sb="139" eb="141">
      <t>セッテイ</t>
    </rPh>
    <rPh sb="143" eb="145">
      <t>セイケイ</t>
    </rPh>
    <rPh sb="145" eb="147">
      <t>イジ</t>
    </rPh>
    <rPh sb="147" eb="148">
      <t>シャ</t>
    </rPh>
    <rPh sb="149" eb="150">
      <t>カズ</t>
    </rPh>
    <rPh sb="153" eb="154">
      <t>ニン</t>
    </rPh>
    <rPh sb="157" eb="158">
      <t>ニン</t>
    </rPh>
    <rPh sb="160" eb="162">
      <t>ドクリツ</t>
    </rPh>
    <rPh sb="162" eb="164">
      <t>セイケイ</t>
    </rPh>
    <rPh sb="167" eb="168">
      <t>エラ</t>
    </rPh>
    <rPh sb="178" eb="179">
      <t>ニン</t>
    </rPh>
    <rPh sb="181" eb="182">
      <t>エラ</t>
    </rPh>
    <rPh sb="184" eb="186">
      <t>バアイ</t>
    </rPh>
    <rPh sb="187" eb="189">
      <t>セイケイ</t>
    </rPh>
    <rPh sb="189" eb="191">
      <t>イジ</t>
    </rPh>
    <rPh sb="191" eb="192">
      <t>シャ</t>
    </rPh>
    <rPh sb="193" eb="194">
      <t>ツヅキ</t>
    </rPh>
    <rPh sb="194" eb="195">
      <t>ガラ</t>
    </rPh>
    <rPh sb="196" eb="197">
      <t>エラ</t>
    </rPh>
    <rPh sb="203" eb="208">
      <t>カゼイショウメイショ</t>
    </rPh>
    <rPh sb="210" eb="216">
      <t>ゴウケイショトクキンガク</t>
    </rPh>
    <rPh sb="218" eb="220">
      <t>ニュウリョク</t>
    </rPh>
    <rPh sb="226" eb="228">
      <t>カゼイ</t>
    </rPh>
    <rPh sb="228" eb="231">
      <t>ショウメイショ</t>
    </rPh>
    <rPh sb="232" eb="234">
      <t>キサイ</t>
    </rPh>
    <rPh sb="239" eb="240">
      <t>カタ</t>
    </rPh>
    <rPh sb="242" eb="247">
      <t>カゼイショウメイショ</t>
    </rPh>
    <rPh sb="251" eb="252">
      <t>ショウ</t>
    </rPh>
    <rPh sb="254" eb="255">
      <t>シャ</t>
    </rPh>
    <rPh sb="257" eb="259">
      <t>カフ</t>
    </rPh>
    <rPh sb="263" eb="264">
      <t>オヤ</t>
    </rPh>
    <rPh sb="269" eb="271">
      <t>ガイトウ</t>
    </rPh>
    <rPh sb="273" eb="274">
      <t>ムネ</t>
    </rPh>
    <rPh sb="275" eb="277">
      <t>センタク</t>
    </rPh>
    <rPh sb="298" eb="302">
      <t>セイネンガッピ</t>
    </rPh>
    <rPh sb="303" eb="305">
      <t>ニュウリョク</t>
    </rPh>
    <rPh sb="328" eb="329">
      <t>ゼイ</t>
    </rPh>
    <rPh sb="330" eb="332">
      <t>ネンド</t>
    </rPh>
    <rPh sb="333" eb="335">
      <t>ショニチ</t>
    </rPh>
    <rPh sb="336" eb="337">
      <t>ゾク</t>
    </rPh>
    <rPh sb="339" eb="340">
      <t>トシ</t>
    </rPh>
    <rPh sb="342" eb="343">
      <t>ガツ</t>
    </rPh>
    <rPh sb="344" eb="345">
      <t>ニチ</t>
    </rPh>
    <rPh sb="346" eb="348">
      <t>セイカツ</t>
    </rPh>
    <rPh sb="348" eb="350">
      <t>フジョ</t>
    </rPh>
    <rPh sb="351" eb="353">
      <t>ジュキュウ</t>
    </rPh>
    <rPh sb="357" eb="359">
      <t>バアイ</t>
    </rPh>
    <rPh sb="362" eb="363">
      <t>ムネ</t>
    </rPh>
    <rPh sb="364" eb="366">
      <t>センタク</t>
    </rPh>
    <rPh sb="372" eb="374">
      <t>カゼイ</t>
    </rPh>
    <rPh sb="374" eb="377">
      <t>ショウメイショ</t>
    </rPh>
    <rPh sb="379" eb="381">
      <t>クリコシ</t>
    </rPh>
    <rPh sb="381" eb="383">
      <t>コウジョ</t>
    </rPh>
    <rPh sb="385" eb="387">
      <t>ニュウリョク</t>
    </rPh>
    <rPh sb="391" eb="394">
      <t>ショウメイショ</t>
    </rPh>
    <rPh sb="394" eb="395">
      <t>ジョウ</t>
    </rPh>
    <rPh sb="396" eb="398">
      <t>ソンザイ</t>
    </rPh>
    <rPh sb="401" eb="403">
      <t>バアイ</t>
    </rPh>
    <rPh sb="405" eb="411">
      <t>ゴウケイショトクキンガク</t>
    </rPh>
    <rPh sb="415" eb="418">
      <t>ソウショトク</t>
    </rPh>
    <rPh sb="418" eb="420">
      <t>キンガク</t>
    </rPh>
    <rPh sb="420" eb="421">
      <t>トウ</t>
    </rPh>
    <rPh sb="423" eb="424">
      <t>ヒ</t>
    </rPh>
    <rPh sb="426" eb="427">
      <t>ガク</t>
    </rPh>
    <rPh sb="428" eb="430">
      <t>ニュウリョク</t>
    </rPh>
    <rPh sb="443" eb="446">
      <t>ハイグウシャ</t>
    </rPh>
    <rPh sb="446" eb="448">
      <t>コウジョ</t>
    </rPh>
    <rPh sb="450" eb="452">
      <t>ガイトウ</t>
    </rPh>
    <rPh sb="456" eb="458">
      <t>バアイ</t>
    </rPh>
    <rPh sb="461" eb="462">
      <t>ムネ</t>
    </rPh>
    <rPh sb="463" eb="465">
      <t>センタク</t>
    </rPh>
    <rPh sb="471" eb="473">
      <t>カゼイ</t>
    </rPh>
    <rPh sb="473" eb="476">
      <t>ショウメイショ</t>
    </rPh>
    <rPh sb="478" eb="480">
      <t>フヨウ</t>
    </rPh>
    <rPh sb="480" eb="482">
      <t>コウジョ</t>
    </rPh>
    <rPh sb="484" eb="486">
      <t>ウチワケ</t>
    </rPh>
    <rPh sb="487" eb="489">
      <t>ニンズウ</t>
    </rPh>
    <rPh sb="491" eb="493">
      <t>ニュウリョク</t>
    </rPh>
    <rPh sb="500" eb="501">
      <t>タ</t>
    </rPh>
    <rPh sb="505" eb="507">
      <t>バアイ</t>
    </rPh>
    <rPh sb="509" eb="511">
      <t>イッパン</t>
    </rPh>
    <rPh sb="513" eb="514">
      <t>カゾ</t>
    </rPh>
    <rPh sb="520" eb="525">
      <t>カゼイショウメイショ</t>
    </rPh>
    <rPh sb="529" eb="532">
      <t>サイミマン</t>
    </rPh>
    <rPh sb="532" eb="534">
      <t>フヨウ</t>
    </rPh>
    <rPh sb="534" eb="536">
      <t>シンゾク</t>
    </rPh>
    <rPh sb="538" eb="540">
      <t>ニンズウ</t>
    </rPh>
    <rPh sb="541" eb="543">
      <t>ニュウリョク</t>
    </rPh>
    <rPh sb="549" eb="551">
      <t>カゼイ</t>
    </rPh>
    <rPh sb="551" eb="554">
      <t>ショウメイショ</t>
    </rPh>
    <rPh sb="556" eb="558">
      <t>カゼイ</t>
    </rPh>
    <rPh sb="558" eb="560">
      <t>ヒョウジュン</t>
    </rPh>
    <rPh sb="560" eb="561">
      <t>ガク</t>
    </rPh>
    <rPh sb="563" eb="565">
      <t>ニュウリョク</t>
    </rPh>
    <rPh sb="569" eb="571">
      <t>ソンザイ</t>
    </rPh>
    <rPh sb="574" eb="576">
      <t>バアイ</t>
    </rPh>
    <rPh sb="578" eb="583">
      <t>カゼイソウショトク</t>
    </rPh>
    <rPh sb="583" eb="585">
      <t>キンガク</t>
    </rPh>
    <rPh sb="589" eb="591">
      <t>カゼイ</t>
    </rPh>
    <rPh sb="593" eb="595">
      <t>キンガク</t>
    </rPh>
    <rPh sb="597" eb="598">
      <t>スベ</t>
    </rPh>
    <rPh sb="599" eb="601">
      <t>ゴウケイ</t>
    </rPh>
    <rPh sb="603" eb="604">
      <t>ガク</t>
    </rPh>
    <rPh sb="605" eb="607">
      <t>ニュウリョク</t>
    </rPh>
    <rPh sb="613" eb="615">
      <t>カゼイ</t>
    </rPh>
    <rPh sb="615" eb="618">
      <t>ショウメイショ</t>
    </rPh>
    <rPh sb="629" eb="631">
      <t>チョウセイ</t>
    </rPh>
    <rPh sb="631" eb="633">
      <t>コウジョ</t>
    </rPh>
    <rPh sb="633" eb="634">
      <t>ガク</t>
    </rPh>
    <rPh sb="636" eb="638">
      <t>ニュウリョク</t>
    </rPh>
    <rPh sb="644" eb="645">
      <t>ト</t>
    </rPh>
    <rPh sb="646" eb="651">
      <t>ドウフケンミンゼイ</t>
    </rPh>
    <rPh sb="652" eb="654">
      <t>チョウセイ</t>
    </rPh>
    <rPh sb="654" eb="656">
      <t>コウジョ</t>
    </rPh>
    <rPh sb="656" eb="657">
      <t>ガク</t>
    </rPh>
    <rPh sb="669" eb="671">
      <t>ニュウリョク</t>
    </rPh>
    <rPh sb="734" eb="736">
      <t>セイケイ</t>
    </rPh>
    <rPh sb="736" eb="738">
      <t>イジ</t>
    </rPh>
    <rPh sb="738" eb="739">
      <t>シャ</t>
    </rPh>
    <rPh sb="740" eb="742">
      <t>フヨウ</t>
    </rPh>
    <rPh sb="746" eb="747">
      <t>コ</t>
    </rPh>
    <rPh sb="750" eb="752">
      <t>ニンズウ</t>
    </rPh>
    <rPh sb="753" eb="755">
      <t>ニュウリョク</t>
    </rPh>
    <rPh sb="761" eb="763">
      <t>シリツ</t>
    </rPh>
    <rPh sb="763" eb="765">
      <t>ジタク</t>
    </rPh>
    <rPh sb="765" eb="766">
      <t>ガイ</t>
    </rPh>
    <rPh sb="767" eb="769">
      <t>ガイトウ</t>
    </rPh>
    <rPh sb="776" eb="778">
      <t>センタク</t>
    </rPh>
    <rPh sb="802" eb="804">
      <t>ガイトウ</t>
    </rPh>
    <rPh sb="813" eb="815">
      <t>バアイ</t>
    </rPh>
    <rPh sb="816" eb="818">
      <t>コウジョ</t>
    </rPh>
    <rPh sb="819" eb="821">
      <t>テキヨウ</t>
    </rPh>
    <rPh sb="829" eb="831">
      <t>ガイトウ</t>
    </rPh>
    <rPh sb="835" eb="837">
      <t>バアイ</t>
    </rPh>
    <rPh sb="839" eb="840">
      <t>クロ</t>
    </rPh>
    <rPh sb="841" eb="842">
      <t>ヌ</t>
    </rPh>
    <rPh sb="853" eb="854">
      <t>フク</t>
    </rPh>
    <rPh sb="872" eb="874">
      <t>ガイトウ</t>
    </rPh>
    <rPh sb="879" eb="881">
      <t>センタク</t>
    </rPh>
    <rPh sb="894" eb="896">
      <t>テジュン</t>
    </rPh>
    <rPh sb="897" eb="898">
      <t>スベ</t>
    </rPh>
    <rPh sb="900" eb="902">
      <t>セイケイ</t>
    </rPh>
    <rPh sb="902" eb="904">
      <t>イジ</t>
    </rPh>
    <rPh sb="904" eb="905">
      <t>シャ</t>
    </rPh>
    <rPh sb="909" eb="911">
      <t>ニュウリョク</t>
    </rPh>
    <rPh sb="918" eb="920">
      <t>ケッカ</t>
    </rPh>
    <rPh sb="921" eb="923">
      <t>ヒョウジ</t>
    </rPh>
    <rPh sb="945" eb="947">
      <t>カケイ</t>
    </rPh>
    <rPh sb="947" eb="950">
      <t>キジュンナイ</t>
    </rPh>
    <rPh sb="961" eb="963">
      <t>カケイ</t>
    </rPh>
    <rPh sb="963" eb="966">
      <t>キジュンガイ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</si>
</sst>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Red]0"/>
    <numFmt numFmtId="178" formatCode="0_ "/>
    <numFmt numFmtId="179" formatCode="yyyy&quot;.&quot;mm"/>
  </numFmts>
  <fonts count="2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trike/>
      <sz val="1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u/>
      <sz val="11"/>
      <color rgb="FF0000FF"/>
      <name val="ＭＳ Ｐゴシック"/>
      <family val="3"/>
      <charset val="128"/>
      <scheme val="minor"/>
    </font>
    <font>
      <u/>
      <sz val="11"/>
      <color theme="1"/>
      <name val="ＭＳ Ｐゴシック"/>
      <family val="2"/>
      <scheme val="minor"/>
    </font>
    <font>
      <sz val="10"/>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right style="thin">
        <color indexed="64"/>
      </right>
      <top/>
      <bottom/>
      <diagonal/>
    </border>
    <border>
      <left style="thin">
        <color indexed="64"/>
      </left>
      <right/>
      <top/>
      <bottom/>
      <diagonal/>
    </border>
    <border diagonalUp="1">
      <left style="medium">
        <color indexed="64"/>
      </left>
      <right style="thin">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8">
    <xf numFmtId="0" fontId="0" fillId="0" borderId="0" xfId="0"/>
    <xf numFmtId="14" fontId="0" fillId="0" borderId="0" xfId="0" applyNumberFormat="1"/>
    <xf numFmtId="0" fontId="0" fillId="2" borderId="2"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3"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5" xfId="0" applyNumberFormat="1" applyFont="1" applyFill="1" applyBorder="1" applyAlignment="1">
      <alignment vertical="center" wrapText="1"/>
    </xf>
    <xf numFmtId="0" fontId="0" fillId="2" borderId="6" xfId="0" applyFill="1" applyBorder="1" applyAlignment="1">
      <alignment horizontal="center" vertical="center"/>
    </xf>
    <xf numFmtId="176" fontId="2" fillId="2" borderId="12" xfId="0" applyNumberFormat="1" applyFont="1" applyFill="1" applyBorder="1" applyAlignment="1">
      <alignment vertical="center" wrapText="1"/>
    </xf>
    <xf numFmtId="176" fontId="2" fillId="2" borderId="10" xfId="0" applyNumberFormat="1" applyFont="1" applyFill="1" applyBorder="1" applyAlignment="1">
      <alignment vertical="center" wrapText="1"/>
    </xf>
    <xf numFmtId="176" fontId="0" fillId="2" borderId="12" xfId="0" applyNumberFormat="1" applyFill="1" applyBorder="1" applyAlignment="1">
      <alignment horizontal="center" vertical="center" wrapText="1"/>
    </xf>
    <xf numFmtId="0" fontId="0" fillId="0" borderId="16" xfId="0" applyBorder="1"/>
    <xf numFmtId="176" fontId="0" fillId="2" borderId="22" xfId="0" applyNumberFormat="1" applyFill="1" applyBorder="1" applyAlignment="1">
      <alignment horizontal="center" vertical="center" wrapText="1"/>
    </xf>
    <xf numFmtId="0" fontId="0" fillId="2" borderId="21" xfId="0" applyFill="1" applyBorder="1" applyAlignment="1">
      <alignment horizontal="center" vertical="center"/>
    </xf>
    <xf numFmtId="0" fontId="0" fillId="0" borderId="0" xfId="0" applyAlignment="1">
      <alignment horizontal="right"/>
    </xf>
    <xf numFmtId="0" fontId="0" fillId="0" borderId="0" xfId="0" applyAlignment="1">
      <alignment horizontal="center" vertical="center"/>
    </xf>
    <xf numFmtId="0" fontId="3" fillId="2" borderId="18"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0" xfId="0" applyAlignment="1">
      <alignment vertical="center"/>
    </xf>
    <xf numFmtId="0" fontId="0" fillId="4"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177" fontId="0" fillId="3" borderId="10"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3" xfId="0" applyNumberFormat="1" applyFill="1" applyBorder="1" applyAlignment="1">
      <alignment horizontal="center" vertical="center" wrapText="1"/>
    </xf>
    <xf numFmtId="176" fontId="2" fillId="3" borderId="10"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3" xfId="0" applyNumberFormat="1" applyFont="1" applyFill="1" applyBorder="1" applyAlignment="1">
      <alignment vertical="center" wrapText="1"/>
    </xf>
    <xf numFmtId="14" fontId="0" fillId="3" borderId="12" xfId="0" applyNumberForma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5"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Alignment="1">
      <alignment horizontal="left"/>
    </xf>
    <xf numFmtId="176" fontId="2" fillId="2" borderId="25" xfId="0" applyNumberFormat="1" applyFont="1" applyFill="1" applyBorder="1" applyAlignment="1">
      <alignment vertical="center" wrapText="1"/>
    </xf>
    <xf numFmtId="176" fontId="2" fillId="2" borderId="26" xfId="0" applyNumberFormat="1" applyFont="1" applyFill="1" applyBorder="1" applyAlignment="1">
      <alignment vertical="center" wrapText="1"/>
    </xf>
    <xf numFmtId="0" fontId="6" fillId="0" borderId="0" xfId="0" applyFont="1" applyAlignment="1">
      <alignment horizontal="center" vertical="center"/>
    </xf>
    <xf numFmtId="179" fontId="0" fillId="0" borderId="0" xfId="0" applyNumberFormat="1" applyAlignment="1">
      <alignment horizontal="right"/>
    </xf>
    <xf numFmtId="0" fontId="7" fillId="0" borderId="0" xfId="0" applyFont="1"/>
    <xf numFmtId="0" fontId="6" fillId="0" borderId="0" xfId="0" applyFont="1" applyAlignment="1">
      <alignment vertical="center"/>
    </xf>
    <xf numFmtId="0" fontId="0" fillId="0" borderId="0" xfId="0" applyAlignment="1">
      <alignment vertical="top"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0" borderId="0" xfId="0" applyFont="1"/>
    <xf numFmtId="0" fontId="0" fillId="0" borderId="0" xfId="0" applyAlignment="1">
      <alignment wrapText="1"/>
    </xf>
    <xf numFmtId="0" fontId="11" fillId="0" borderId="0" xfId="0" applyFont="1" applyAlignment="1">
      <alignment horizontal="center" vertical="center"/>
    </xf>
    <xf numFmtId="176" fontId="2" fillId="2" borderId="41" xfId="0" applyNumberFormat="1" applyFont="1" applyFill="1" applyBorder="1" applyAlignment="1">
      <alignment vertical="center" wrapText="1"/>
    </xf>
    <xf numFmtId="0" fontId="4" fillId="5" borderId="9" xfId="0" applyFont="1" applyFill="1" applyBorder="1" applyAlignment="1">
      <alignment horizontal="center" vertical="center" wrapText="1"/>
    </xf>
    <xf numFmtId="176" fontId="2" fillId="5" borderId="3" xfId="0" applyNumberFormat="1" applyFont="1" applyFill="1" applyBorder="1" applyAlignment="1">
      <alignment vertical="center" wrapText="1"/>
    </xf>
    <xf numFmtId="0" fontId="0" fillId="5" borderId="3" xfId="0" applyFill="1" applyBorder="1" applyAlignment="1">
      <alignment horizontal="center" vertical="center" wrapText="1"/>
    </xf>
    <xf numFmtId="14" fontId="0" fillId="5" borderId="5" xfId="0" applyNumberFormat="1" applyFill="1" applyBorder="1" applyAlignment="1">
      <alignment horizontal="center" vertical="center" wrapText="1"/>
    </xf>
    <xf numFmtId="177" fontId="0" fillId="5" borderId="3" xfId="0" applyNumberFormat="1" applyFill="1" applyBorder="1" applyAlignment="1">
      <alignment horizontal="center" vertical="center" wrapText="1"/>
    </xf>
    <xf numFmtId="0" fontId="0" fillId="5" borderId="7" xfId="0" applyFill="1" applyBorder="1" applyAlignment="1">
      <alignment horizontal="center" vertical="center" wrapText="1"/>
    </xf>
    <xf numFmtId="176" fontId="2" fillId="5" borderId="5" xfId="0" applyNumberFormat="1" applyFont="1" applyFill="1" applyBorder="1" applyAlignment="1">
      <alignment vertical="center" wrapText="1"/>
    </xf>
    <xf numFmtId="176" fontId="0" fillId="5" borderId="22" xfId="0" applyNumberFormat="1" applyFill="1" applyBorder="1" applyAlignment="1">
      <alignment horizontal="center" vertical="center" wrapText="1"/>
    </xf>
    <xf numFmtId="176" fontId="2" fillId="5" borderId="27" xfId="0" applyNumberFormat="1" applyFont="1" applyFill="1" applyBorder="1" applyAlignment="1">
      <alignment vertical="center" wrapText="1"/>
    </xf>
    <xf numFmtId="0" fontId="8" fillId="0" borderId="0" xfId="0" applyFont="1"/>
    <xf numFmtId="0" fontId="0" fillId="6" borderId="0" xfId="0" applyFill="1"/>
    <xf numFmtId="0" fontId="8" fillId="6" borderId="0" xfId="0" applyFont="1" applyFill="1"/>
    <xf numFmtId="0" fontId="0" fillId="4" borderId="52" xfId="0" applyFill="1" applyBorder="1" applyAlignment="1">
      <alignment horizontal="center" vertical="center"/>
    </xf>
    <xf numFmtId="0" fontId="0" fillId="4" borderId="53" xfId="0" applyFill="1" applyBorder="1" applyAlignment="1">
      <alignment horizontal="center" vertical="center"/>
    </xf>
    <xf numFmtId="0" fontId="5" fillId="0" borderId="0" xfId="0" applyFont="1" applyAlignment="1">
      <alignment horizontal="left" vertical="center"/>
    </xf>
    <xf numFmtId="178" fontId="0" fillId="2" borderId="1" xfId="0" applyNumberFormat="1" applyFill="1" applyBorder="1" applyAlignment="1">
      <alignment horizontal="center" vertical="center"/>
    </xf>
    <xf numFmtId="0" fontId="0" fillId="2" borderId="1" xfId="0" applyFill="1" applyBorder="1" applyAlignment="1">
      <alignment horizontal="center" vertical="center" shrinkToFit="1"/>
    </xf>
    <xf numFmtId="0" fontId="0" fillId="2" borderId="26" xfId="0" applyFill="1" applyBorder="1" applyAlignment="1">
      <alignment horizontal="center" vertical="center" shrinkToFit="1"/>
    </xf>
    <xf numFmtId="0" fontId="0" fillId="4" borderId="59" xfId="0" applyFill="1" applyBorder="1" applyAlignment="1">
      <alignment horizontal="center" vertical="center"/>
    </xf>
    <xf numFmtId="0" fontId="0" fillId="0" borderId="13" xfId="0" applyBorder="1" applyAlignment="1">
      <alignment vertical="center"/>
    </xf>
    <xf numFmtId="0" fontId="0" fillId="0" borderId="13" xfId="0" applyBorder="1" applyAlignment="1">
      <alignment vertical="center" shrinkToFit="1"/>
    </xf>
    <xf numFmtId="0" fontId="0" fillId="0" borderId="21" xfId="0" applyBorder="1" applyAlignment="1">
      <alignment horizontal="center" vertical="center" wrapText="1"/>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50" xfId="0" applyBorder="1" applyAlignment="1">
      <alignment horizontal="center" vertical="center"/>
    </xf>
    <xf numFmtId="0" fontId="0" fillId="2" borderId="49" xfId="0" applyFill="1" applyBorder="1" applyAlignment="1">
      <alignment horizontal="center" vertical="center"/>
    </xf>
    <xf numFmtId="0" fontId="0" fillId="2" borderId="23" xfId="0" applyFill="1" applyBorder="1" applyAlignment="1">
      <alignment horizontal="center" vertical="center"/>
    </xf>
    <xf numFmtId="0" fontId="9" fillId="0" borderId="0" xfId="0" applyFont="1" applyAlignment="1">
      <alignment vertical="center"/>
    </xf>
    <xf numFmtId="0" fontId="18" fillId="0" borderId="0" xfId="0" applyFont="1"/>
    <xf numFmtId="0" fontId="13" fillId="0" borderId="0" xfId="0" applyFont="1"/>
    <xf numFmtId="0" fontId="0" fillId="0" borderId="0" xfId="0"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26" xfId="0" applyFont="1" applyFill="1" applyBorder="1" applyAlignment="1">
      <alignment horizontal="center" vertical="center"/>
    </xf>
    <xf numFmtId="0" fontId="0" fillId="0" borderId="13" xfId="0" applyBorder="1" applyAlignment="1">
      <alignment horizontal="center" vertical="center" wrapText="1"/>
    </xf>
    <xf numFmtId="0" fontId="0" fillId="0" borderId="51" xfId="0"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176" fontId="2" fillId="2" borderId="44" xfId="0" applyNumberFormat="1" applyFont="1" applyFill="1" applyBorder="1" applyAlignment="1">
      <alignment horizontal="center" vertical="center" wrapText="1"/>
    </xf>
    <xf numFmtId="176" fontId="2" fillId="2" borderId="45" xfId="0" applyNumberFormat="1" applyFont="1" applyFill="1" applyBorder="1" applyAlignment="1">
      <alignment horizontal="center" vertical="center" wrapText="1"/>
    </xf>
    <xf numFmtId="176" fontId="2" fillId="2" borderId="46" xfId="0" applyNumberFormat="1" applyFont="1" applyFill="1" applyBorder="1" applyAlignment="1">
      <alignment horizontal="center" vertical="center" wrapText="1"/>
    </xf>
    <xf numFmtId="0" fontId="10" fillId="0" borderId="0" xfId="0" applyFont="1" applyAlignment="1">
      <alignment horizontal="left" vertical="top"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24" xfId="0" applyFill="1" applyBorder="1" applyAlignment="1">
      <alignment horizontal="center" vertical="center"/>
    </xf>
    <xf numFmtId="0" fontId="14" fillId="2" borderId="28" xfId="0" applyFont="1"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9" fillId="0" borderId="0" xfId="0" applyFont="1" applyAlignment="1">
      <alignment horizontal="left" vertical="top" wrapText="1"/>
    </xf>
  </cellXfs>
  <cellStyles count="1">
    <cellStyle name="標準" xfId="0" builtinId="0"/>
  </cellStyles>
  <dxfs count="14">
    <dxf>
      <fill>
        <patternFill>
          <bgColor theme="1"/>
        </patternFill>
      </fill>
    </dxf>
    <dxf>
      <fill>
        <patternFill>
          <bgColor theme="1"/>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s>
  <tableStyles count="0" defaultTableStyle="TableStyleMedium2" defaultPivotStyle="PivotStyleMedium9"/>
  <colors>
    <mruColors>
      <color rgb="FF0000FF"/>
      <color rgb="FFCCFFFF"/>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17</xdr:row>
      <xdr:rowOff>95251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8230046" y="1889761"/>
          <a:ext cx="4159063" cy="3463290"/>
          <a:chOff x="9368118" y="1288676"/>
          <a:chExt cx="4676775" cy="3130553"/>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支給額算定基準額判定ツール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a:extLst>
              <a:ext uri="{FF2B5EF4-FFF2-40B4-BE49-F238E27FC236}">
                <a16:creationId xmlns:a16="http://schemas.microsoft.com/office/drawing/2014/main" id="{00000000-0008-0000-0000-000004000000}"/>
              </a:ext>
            </a:extLst>
          </xdr:cNvPr>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a:extLst>
              <a:ext uri="{FF2B5EF4-FFF2-40B4-BE49-F238E27FC236}">
                <a16:creationId xmlns:a16="http://schemas.microsoft.com/office/drawing/2014/main" id="{00000000-0008-0000-0000-000006000000}"/>
              </a:ext>
            </a:extLst>
          </xdr:cNvPr>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20169</xdr:colOff>
      <xdr:row>8</xdr:row>
      <xdr:rowOff>323888</xdr:rowOff>
    </xdr:from>
    <xdr:to>
      <xdr:col>20</xdr:col>
      <xdr:colOff>581218</xdr:colOff>
      <xdr:row>25</xdr:row>
      <xdr:rowOff>78787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46357" y="2116829"/>
          <a:ext cx="7876249" cy="5474382"/>
        </a:xfrm>
        <a:prstGeom prst="rect">
          <a:avLst/>
        </a:prstGeom>
      </xdr:spPr>
    </xdr:pic>
    <xdr:clientData/>
  </xdr:twoCellAnchor>
  <xdr:oneCellAnchor>
    <xdr:from>
      <xdr:col>4</xdr:col>
      <xdr:colOff>123825</xdr:colOff>
      <xdr:row>15</xdr:row>
      <xdr:rowOff>38100</xdr:rowOff>
    </xdr:from>
    <xdr:ext cx="235884" cy="27622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705225" y="38290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clientData/>
  </xdr:oneCellAnchor>
  <xdr:oneCellAnchor>
    <xdr:from>
      <xdr:col>4</xdr:col>
      <xdr:colOff>123825</xdr:colOff>
      <xdr:row>16</xdr:row>
      <xdr:rowOff>219075</xdr:rowOff>
    </xdr:from>
    <xdr:ext cx="235884" cy="27622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705225" y="43529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clientData/>
  </xdr:oneCellAnchor>
  <xdr:oneCellAnchor>
    <xdr:from>
      <xdr:col>4</xdr:col>
      <xdr:colOff>133350</xdr:colOff>
      <xdr:row>18</xdr:row>
      <xdr:rowOff>28575</xdr:rowOff>
    </xdr:from>
    <xdr:ext cx="235884" cy="276225"/>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714750" y="4848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clientData/>
  </xdr:oneCellAnchor>
  <xdr:oneCellAnchor>
    <xdr:from>
      <xdr:col>4</xdr:col>
      <xdr:colOff>133350</xdr:colOff>
      <xdr:row>19</xdr:row>
      <xdr:rowOff>38100</xdr:rowOff>
    </xdr:from>
    <xdr:ext cx="235884" cy="276225"/>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714750" y="52006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⑧</a:t>
          </a:r>
        </a:p>
      </xdr:txBody>
    </xdr:sp>
    <xdr:clientData/>
  </xdr:oneCellAnchor>
  <xdr:oneCellAnchor>
    <xdr:from>
      <xdr:col>4</xdr:col>
      <xdr:colOff>133350</xdr:colOff>
      <xdr:row>20</xdr:row>
      <xdr:rowOff>28575</xdr:rowOff>
    </xdr:from>
    <xdr:ext cx="235884" cy="276225"/>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714750" y="55340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clientData/>
  </xdr:oneCellAnchor>
  <xdr:oneCellAnchor>
    <xdr:from>
      <xdr:col>4</xdr:col>
      <xdr:colOff>123825</xdr:colOff>
      <xdr:row>21</xdr:row>
      <xdr:rowOff>38100</xdr:rowOff>
    </xdr:from>
    <xdr:ext cx="235884" cy="276225"/>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705225" y="62293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clientData/>
  </xdr:oneCellAnchor>
  <xdr:oneCellAnchor>
    <xdr:from>
      <xdr:col>4</xdr:col>
      <xdr:colOff>132231</xdr:colOff>
      <xdr:row>22</xdr:row>
      <xdr:rowOff>128868</xdr:rowOff>
    </xdr:from>
    <xdr:ext cx="226358" cy="7496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332631" y="6619315"/>
          <a:ext cx="226358" cy="7496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r>
            <a:rPr kumimoji="1" lang="ja-JP" altLang="en-US" sz="1200" b="1">
              <a:solidFill>
                <a:srgbClr val="FF0000"/>
              </a:solidFill>
            </a:rPr>
            <a:t>⑪</a:t>
          </a:r>
        </a:p>
      </xdr:txBody>
    </xdr:sp>
    <xdr:clientData/>
  </xdr:oneCellAnchor>
  <xdr:oneCellAnchor>
    <xdr:from>
      <xdr:col>4</xdr:col>
      <xdr:colOff>123825</xdr:colOff>
      <xdr:row>25</xdr:row>
      <xdr:rowOff>28575</xdr:rowOff>
    </xdr:from>
    <xdr:ext cx="235884" cy="276225"/>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705225" y="72485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clientData/>
  </xdr:oneCellAnchor>
  <xdr:oneCellAnchor>
    <xdr:from>
      <xdr:col>4</xdr:col>
      <xdr:colOff>123825</xdr:colOff>
      <xdr:row>26</xdr:row>
      <xdr:rowOff>47625</xdr:rowOff>
    </xdr:from>
    <xdr:ext cx="235884" cy="276225"/>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705225" y="76104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clientData/>
  </xdr:oneCellAnchor>
  <xdr:oneCellAnchor>
    <xdr:from>
      <xdr:col>4</xdr:col>
      <xdr:colOff>123825</xdr:colOff>
      <xdr:row>27</xdr:row>
      <xdr:rowOff>38100</xdr:rowOff>
    </xdr:from>
    <xdr:ext cx="235884" cy="276225"/>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705225" y="79438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clientData/>
  </xdr:oneCellAnchor>
  <xdr:oneCellAnchor>
    <xdr:from>
      <xdr:col>3</xdr:col>
      <xdr:colOff>1521535</xdr:colOff>
      <xdr:row>28</xdr:row>
      <xdr:rowOff>56030</xdr:rowOff>
    </xdr:from>
    <xdr:ext cx="235884" cy="27622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054500" y="859043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clientData/>
  </xdr:oneCellAnchor>
  <xdr:oneCellAnchor>
    <xdr:from>
      <xdr:col>4</xdr:col>
      <xdr:colOff>123825</xdr:colOff>
      <xdr:row>29</xdr:row>
      <xdr:rowOff>28575</xdr:rowOff>
    </xdr:from>
    <xdr:ext cx="235884" cy="27622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705225" y="86201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⑯</a:t>
          </a:r>
        </a:p>
      </xdr:txBody>
    </xdr:sp>
    <xdr:clientData/>
  </xdr:oneCellAnchor>
  <xdr:oneCellAnchor>
    <xdr:from>
      <xdr:col>3</xdr:col>
      <xdr:colOff>1704975</xdr:colOff>
      <xdr:row>9</xdr:row>
      <xdr:rowOff>47625</xdr:rowOff>
    </xdr:from>
    <xdr:ext cx="235884" cy="27622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429000" y="22002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strike="dblStrike" baseline="0">
              <a:solidFill>
                <a:schemeClr val="tx1"/>
              </a:solidFill>
            </a:rPr>
            <a:t>①</a:t>
          </a:r>
        </a:p>
      </xdr:txBody>
    </xdr:sp>
    <xdr:clientData/>
  </xdr:oneCellAnchor>
  <xdr:oneCellAnchor>
    <xdr:from>
      <xdr:col>5</xdr:col>
      <xdr:colOff>1619250</xdr:colOff>
      <xdr:row>9</xdr:row>
      <xdr:rowOff>38100</xdr:rowOff>
    </xdr:from>
    <xdr:ext cx="235884" cy="27622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905625" y="21907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strike="dblStrike" baseline="0">
              <a:solidFill>
                <a:schemeClr val="tx1"/>
              </a:solidFill>
            </a:rPr>
            <a:t>②</a:t>
          </a:r>
        </a:p>
      </xdr:txBody>
    </xdr:sp>
    <xdr:clientData/>
  </xdr:oneCellAnchor>
  <xdr:oneCellAnchor>
    <xdr:from>
      <xdr:col>3</xdr:col>
      <xdr:colOff>1724025</xdr:colOff>
      <xdr:row>10</xdr:row>
      <xdr:rowOff>28575</xdr:rowOff>
    </xdr:from>
    <xdr:ext cx="235884" cy="27622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448050" y="2181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③</a:t>
          </a:r>
        </a:p>
      </xdr:txBody>
    </xdr:sp>
    <xdr:clientData/>
  </xdr:oneCellAnchor>
  <xdr:oneCellAnchor>
    <xdr:from>
      <xdr:col>5</xdr:col>
      <xdr:colOff>1600200</xdr:colOff>
      <xdr:row>10</xdr:row>
      <xdr:rowOff>19050</xdr:rowOff>
    </xdr:from>
    <xdr:ext cx="235884" cy="27622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6886575" y="251460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clientData/>
  </xdr:oneCellAnchor>
  <xdr:twoCellAnchor>
    <xdr:from>
      <xdr:col>9</xdr:col>
      <xdr:colOff>408566</xdr:colOff>
      <xdr:row>10</xdr:row>
      <xdr:rowOff>273708</xdr:rowOff>
    </xdr:from>
    <xdr:to>
      <xdr:col>19</xdr:col>
      <xdr:colOff>39220</xdr:colOff>
      <xdr:row>24</xdr:row>
      <xdr:rowOff>101784</xdr:rowOff>
    </xdr:to>
    <xdr:grpSp>
      <xdr:nvGrpSpPr>
        <xdr:cNvPr id="58" name="グループ化 57">
          <a:extLst>
            <a:ext uri="{FF2B5EF4-FFF2-40B4-BE49-F238E27FC236}">
              <a16:creationId xmlns:a16="http://schemas.microsoft.com/office/drawing/2014/main" id="{00000000-0008-0000-0100-00003A000000}"/>
            </a:ext>
          </a:extLst>
        </xdr:cNvPr>
        <xdr:cNvGrpSpPr/>
      </xdr:nvGrpSpPr>
      <xdr:grpSpPr>
        <a:xfrm>
          <a:off x="8844354" y="2747967"/>
          <a:ext cx="5726654" cy="4525582"/>
          <a:chOff x="9865973" y="4053199"/>
          <a:chExt cx="6450352" cy="4552300"/>
        </a:xfrm>
      </xdr:grpSpPr>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865973" y="4405625"/>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2400404" y="6078080"/>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1121609" y="4066439"/>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6097250" y="4053199"/>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913025" y="7157335"/>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3087350" y="458152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1978023" y="5041599"/>
            <a:ext cx="275278" cy="29632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ja-JP" altLang="en-US" sz="1200" b="1">
                <a:solidFill>
                  <a:srgbClr val="FF0000"/>
                </a:solidFill>
              </a:rPr>
              <a:t>⑪</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220699" y="7294229"/>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3220699" y="7515334"/>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6034583" y="5001248"/>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4632160" y="8376899"/>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grpSp>
    <xdr:clientData/>
  </xdr:twoCellAnchor>
  <xdr:oneCellAnchor>
    <xdr:from>
      <xdr:col>4</xdr:col>
      <xdr:colOff>32609</xdr:colOff>
      <xdr:row>37</xdr:row>
      <xdr:rowOff>82924</xdr:rowOff>
    </xdr:from>
    <xdr:ext cx="235884" cy="276225"/>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233009" y="11683253"/>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⑰</a:t>
          </a:r>
        </a:p>
      </xdr:txBody>
    </xdr:sp>
    <xdr:clientData/>
  </xdr:oneCellAnchor>
  <xdr:oneCellAnchor>
    <xdr:from>
      <xdr:col>4</xdr:col>
      <xdr:colOff>98613</xdr:colOff>
      <xdr:row>36</xdr:row>
      <xdr:rowOff>80683</xdr:rowOff>
    </xdr:from>
    <xdr:ext cx="235884" cy="276225"/>
    <xdr:sp macro="" textlink="">
      <xdr:nvSpPr>
        <xdr:cNvPr id="3" name="テキスト ボックス 2">
          <a:extLst>
            <a:ext uri="{FF2B5EF4-FFF2-40B4-BE49-F238E27FC236}">
              <a16:creationId xmlns:a16="http://schemas.microsoft.com/office/drawing/2014/main" id="{D786EF5C-7DEE-49E7-BBA1-885F0C2958F8}"/>
            </a:ext>
          </a:extLst>
        </xdr:cNvPr>
        <xdr:cNvSpPr txBox="1"/>
      </xdr:nvSpPr>
      <xdr:spPr>
        <a:xfrm>
          <a:off x="3299013" y="11340354"/>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⑱</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8"/>
  <sheetViews>
    <sheetView tabSelected="1" view="pageBreakPreview" topLeftCell="A26" zoomScaleNormal="100" zoomScaleSheetLayoutView="100" workbookViewId="0">
      <selection activeCell="G38" sqref="G38"/>
    </sheetView>
  </sheetViews>
  <sheetFormatPr defaultRowHeight="13.2" x14ac:dyDescent="0.2"/>
  <cols>
    <col min="1" max="1" width="6.44140625" customWidth="1"/>
    <col min="2" max="2" width="7.109375" customWidth="1"/>
    <col min="4" max="4" width="24.21875" customWidth="1"/>
    <col min="5" max="7" width="22.33203125" customWidth="1"/>
    <col min="8" max="8" width="3.88671875" customWidth="1"/>
  </cols>
  <sheetData>
    <row r="1" spans="2:7" ht="18.600000000000001" customHeight="1" x14ac:dyDescent="0.2">
      <c r="B1" s="33" t="s">
        <v>160</v>
      </c>
      <c r="G1" s="39">
        <f>MAX(修正履歴!A:A)</f>
        <v>45219</v>
      </c>
    </row>
    <row r="2" spans="2:7" ht="19.8" customHeight="1" x14ac:dyDescent="0.2">
      <c r="B2" s="66" t="s">
        <v>153</v>
      </c>
      <c r="G2" s="14"/>
    </row>
    <row r="3" spans="2:7" x14ac:dyDescent="0.2">
      <c r="B3" s="80" t="s">
        <v>154</v>
      </c>
      <c r="G3" s="14"/>
    </row>
    <row r="4" spans="2:7" x14ac:dyDescent="0.2">
      <c r="B4" s="81" t="s">
        <v>155</v>
      </c>
      <c r="G4" s="14"/>
    </row>
    <row r="5" spans="2:7" x14ac:dyDescent="0.2">
      <c r="B5" t="s">
        <v>109</v>
      </c>
      <c r="G5" s="14"/>
    </row>
    <row r="6" spans="2:7" ht="19.2" customHeight="1" x14ac:dyDescent="0.2">
      <c r="B6" s="34" t="s">
        <v>89</v>
      </c>
      <c r="G6" s="14"/>
    </row>
    <row r="7" spans="2:7" ht="24.75" customHeight="1" x14ac:dyDescent="0.2">
      <c r="B7" s="79" t="s">
        <v>92</v>
      </c>
      <c r="G7" s="14"/>
    </row>
    <row r="8" spans="2:7" ht="27" customHeight="1" x14ac:dyDescent="0.2">
      <c r="B8" s="83" t="s">
        <v>157</v>
      </c>
      <c r="C8" s="84"/>
      <c r="D8" s="84"/>
      <c r="E8" s="67">
        <v>2024</v>
      </c>
      <c r="F8" s="82" t="s">
        <v>95</v>
      </c>
      <c r="G8" s="82"/>
    </row>
    <row r="9" spans="2:7" ht="27" customHeight="1" x14ac:dyDescent="0.2">
      <c r="B9" s="85" t="s">
        <v>158</v>
      </c>
      <c r="C9" s="84"/>
      <c r="D9" s="84"/>
      <c r="E9" s="68" t="s">
        <v>61</v>
      </c>
    </row>
    <row r="10" spans="2:7" ht="27" customHeight="1" thickBot="1" x14ac:dyDescent="0.25">
      <c r="B10" s="95" t="s">
        <v>159</v>
      </c>
      <c r="C10" s="96"/>
      <c r="D10" s="96"/>
      <c r="E10" s="69" t="s">
        <v>127</v>
      </c>
      <c r="F10" s="49" t="str">
        <f>IF(計算シート!B4=3,"両方を希望した場合の優先順位を選択してください。","")</f>
        <v/>
      </c>
      <c r="G10" s="50" t="s">
        <v>131</v>
      </c>
    </row>
    <row r="11" spans="2:7" ht="27" customHeight="1" thickBot="1" x14ac:dyDescent="0.25">
      <c r="B11" s="86" t="s">
        <v>19</v>
      </c>
      <c r="C11" s="87"/>
      <c r="D11" s="87"/>
      <c r="E11" s="70" t="s">
        <v>57</v>
      </c>
      <c r="F11" s="49" t="str">
        <f>IF(計算シート!B2=2,"生計維持者１の続柄を選択してください。","")</f>
        <v/>
      </c>
      <c r="G11" s="50" t="s">
        <v>144</v>
      </c>
    </row>
    <row r="12" spans="2:7" ht="27" customHeight="1" x14ac:dyDescent="0.2">
      <c r="B12" s="35" t="s">
        <v>91</v>
      </c>
      <c r="C12" s="15"/>
      <c r="D12" s="15"/>
      <c r="E12" s="15"/>
    </row>
    <row r="13" spans="2:7" ht="24" customHeight="1" x14ac:dyDescent="0.2">
      <c r="B13" s="20" t="s">
        <v>93</v>
      </c>
      <c r="C13" s="15"/>
      <c r="D13" s="15"/>
      <c r="E13" s="15"/>
    </row>
    <row r="14" spans="2:7" ht="24" customHeight="1" thickBot="1" x14ac:dyDescent="0.25">
      <c r="B14" s="79" t="str">
        <f>IF(E8&lt;&gt;0,"課税証明書（所得証明書）は、"&amp;YEAR(計算シート!B8)&amp;"年度（"&amp;YEAR(計算シート!B8)-1&amp;"年分）のものを用意してください。","")</f>
        <v>課税証明書（所得証明書）は、2023年度（2022年分）のものを用意してください。</v>
      </c>
      <c r="C14" s="15"/>
      <c r="D14" s="15"/>
      <c r="E14" s="15"/>
    </row>
    <row r="15" spans="2:7" ht="55.5" customHeight="1" thickBot="1" x14ac:dyDescent="0.25">
      <c r="B15" s="16" t="s">
        <v>34</v>
      </c>
      <c r="C15" s="93" t="s">
        <v>31</v>
      </c>
      <c r="D15" s="94"/>
      <c r="E15" s="17" t="s">
        <v>9</v>
      </c>
      <c r="F15" s="18" t="s">
        <v>10</v>
      </c>
      <c r="G15" s="19" t="s">
        <v>11</v>
      </c>
    </row>
    <row r="16" spans="2:7" ht="27" customHeight="1" thickTop="1" x14ac:dyDescent="0.2">
      <c r="B16" s="73" t="s">
        <v>36</v>
      </c>
      <c r="C16" s="90" t="s">
        <v>78</v>
      </c>
      <c r="D16" s="91"/>
      <c r="E16" s="27">
        <v>4603200</v>
      </c>
      <c r="F16" s="27">
        <v>0</v>
      </c>
      <c r="G16" s="29"/>
    </row>
    <row r="17" spans="2:7" ht="27" customHeight="1" x14ac:dyDescent="0.2">
      <c r="B17" s="74" t="s">
        <v>37</v>
      </c>
      <c r="C17" s="92" t="s">
        <v>4</v>
      </c>
      <c r="D17" s="71" t="s">
        <v>17</v>
      </c>
      <c r="E17" s="21" t="s">
        <v>67</v>
      </c>
      <c r="F17" s="22" t="s">
        <v>67</v>
      </c>
      <c r="G17" s="23" t="s">
        <v>67</v>
      </c>
    </row>
    <row r="18" spans="2:7" ht="27" customHeight="1" x14ac:dyDescent="0.2">
      <c r="B18" s="74" t="s">
        <v>38</v>
      </c>
      <c r="C18" s="92"/>
      <c r="D18" s="72" t="str">
        <f>"控除対象寡婦"&amp;IF(計算シート!B26=1,"・ひとり親","（寡夫）")</f>
        <v>控除対象寡婦・ひとり親</v>
      </c>
      <c r="E18" s="21" t="s">
        <v>67</v>
      </c>
      <c r="F18" s="22" t="s">
        <v>67</v>
      </c>
      <c r="G18" s="23" t="s">
        <v>67</v>
      </c>
    </row>
    <row r="19" spans="2:7" ht="27" customHeight="1" x14ac:dyDescent="0.2">
      <c r="B19" s="74" t="s">
        <v>39</v>
      </c>
      <c r="C19" s="88" t="s">
        <v>5</v>
      </c>
      <c r="D19" s="89"/>
      <c r="E19" s="30">
        <v>26877</v>
      </c>
      <c r="F19" s="31">
        <v>28043</v>
      </c>
      <c r="G19" s="32"/>
    </row>
    <row r="20" spans="2:7" ht="27" customHeight="1" x14ac:dyDescent="0.2">
      <c r="B20" s="74" t="s">
        <v>40</v>
      </c>
      <c r="C20" s="92" t="str">
        <f>IF(E8="","----年-月-日",TEXT(計算シート!B8,"yyyy年m月d日"))&amp;"時点の生活保護法の
生活扶助の受給"</f>
        <v>2023年1月1日時点の生活保護法の
生活扶助の受給</v>
      </c>
      <c r="D20" s="97"/>
      <c r="E20" s="21" t="s">
        <v>63</v>
      </c>
      <c r="F20" s="22" t="s">
        <v>63</v>
      </c>
      <c r="G20" s="23" t="s">
        <v>63</v>
      </c>
    </row>
    <row r="21" spans="2:7" ht="27" customHeight="1" x14ac:dyDescent="0.2">
      <c r="B21" s="74" t="s">
        <v>42</v>
      </c>
      <c r="C21" s="90" t="s">
        <v>79</v>
      </c>
      <c r="D21" s="91"/>
      <c r="E21" s="27">
        <v>0</v>
      </c>
      <c r="F21" s="28">
        <v>0</v>
      </c>
      <c r="G21" s="29"/>
    </row>
    <row r="22" spans="2:7" ht="27" customHeight="1" x14ac:dyDescent="0.2">
      <c r="B22" s="74" t="s">
        <v>44</v>
      </c>
      <c r="C22" s="90" t="s">
        <v>2</v>
      </c>
      <c r="D22" s="91"/>
      <c r="E22" s="21" t="s">
        <v>67</v>
      </c>
      <c r="F22" s="22" t="s">
        <v>67</v>
      </c>
      <c r="G22" s="23" t="s">
        <v>67</v>
      </c>
    </row>
    <row r="23" spans="2:7" ht="27" customHeight="1" x14ac:dyDescent="0.2">
      <c r="B23" s="74" t="s">
        <v>45</v>
      </c>
      <c r="C23" s="92" t="s">
        <v>3</v>
      </c>
      <c r="D23" s="71" t="s">
        <v>80</v>
      </c>
      <c r="E23" s="24">
        <v>1</v>
      </c>
      <c r="F23" s="25">
        <v>0</v>
      </c>
      <c r="G23" s="26"/>
    </row>
    <row r="24" spans="2:7" ht="27" customHeight="1" x14ac:dyDescent="0.2">
      <c r="B24" s="74" t="s">
        <v>46</v>
      </c>
      <c r="C24" s="92"/>
      <c r="D24" s="71" t="s">
        <v>81</v>
      </c>
      <c r="E24" s="24">
        <v>0</v>
      </c>
      <c r="F24" s="25">
        <v>0</v>
      </c>
      <c r="G24" s="26"/>
    </row>
    <row r="25" spans="2:7" ht="27" customHeight="1" x14ac:dyDescent="0.2">
      <c r="B25" s="74" t="s">
        <v>47</v>
      </c>
      <c r="C25" s="92"/>
      <c r="D25" s="71" t="s">
        <v>82</v>
      </c>
      <c r="E25" s="24">
        <v>0</v>
      </c>
      <c r="F25" s="25">
        <v>0</v>
      </c>
      <c r="G25" s="26"/>
    </row>
    <row r="26" spans="2:7" ht="27" customHeight="1" x14ac:dyDescent="0.2">
      <c r="B26" s="74" t="s">
        <v>48</v>
      </c>
      <c r="C26" s="90" t="s">
        <v>83</v>
      </c>
      <c r="D26" s="91"/>
      <c r="E26" s="24">
        <v>1</v>
      </c>
      <c r="F26" s="25">
        <v>0</v>
      </c>
      <c r="G26" s="26"/>
    </row>
    <row r="27" spans="2:7" ht="27" customHeight="1" x14ac:dyDescent="0.2">
      <c r="B27" s="74" t="s">
        <v>51</v>
      </c>
      <c r="C27" s="90" t="s">
        <v>84</v>
      </c>
      <c r="D27" s="91"/>
      <c r="E27" s="27">
        <v>2597000</v>
      </c>
      <c r="F27" s="27">
        <v>0</v>
      </c>
      <c r="G27" s="29"/>
    </row>
    <row r="28" spans="2:7" ht="27" customHeight="1" x14ac:dyDescent="0.2">
      <c r="B28" s="74" t="s">
        <v>52</v>
      </c>
      <c r="C28" s="90" t="s">
        <v>85</v>
      </c>
      <c r="D28" s="91"/>
      <c r="E28" s="27">
        <v>1500</v>
      </c>
      <c r="F28" s="27">
        <v>0</v>
      </c>
      <c r="G28" s="29"/>
    </row>
    <row r="29" spans="2:7" ht="27" customHeight="1" x14ac:dyDescent="0.2">
      <c r="B29" s="74" t="s">
        <v>54</v>
      </c>
      <c r="C29" s="90" t="s">
        <v>7</v>
      </c>
      <c r="D29" s="91"/>
      <c r="E29" s="21" t="s">
        <v>65</v>
      </c>
      <c r="F29" s="22" t="s">
        <v>65</v>
      </c>
      <c r="G29" s="23" t="s">
        <v>65</v>
      </c>
    </row>
    <row r="30" spans="2:7" ht="27" customHeight="1" thickBot="1" x14ac:dyDescent="0.25">
      <c r="B30" s="75">
        <v>4</v>
      </c>
      <c r="C30" s="110" t="s">
        <v>116</v>
      </c>
      <c r="D30" s="111"/>
      <c r="E30" s="45">
        <v>2</v>
      </c>
      <c r="F30" s="46">
        <v>0</v>
      </c>
      <c r="G30" s="47"/>
    </row>
    <row r="31" spans="2:7" ht="27" customHeight="1" thickTop="1" x14ac:dyDescent="0.2">
      <c r="B31" s="44" t="s">
        <v>41</v>
      </c>
      <c r="C31" s="109" t="s">
        <v>35</v>
      </c>
      <c r="D31" s="107"/>
      <c r="E31" s="8">
        <f>計算シート!B20</f>
        <v>0</v>
      </c>
      <c r="F31" s="5">
        <f>計算シート!C20</f>
        <v>0</v>
      </c>
      <c r="G31" s="6">
        <f>計算シート!D20</f>
        <v>0</v>
      </c>
    </row>
    <row r="32" spans="2:7" ht="27" customHeight="1" x14ac:dyDescent="0.2">
      <c r="B32" s="2" t="s">
        <v>43</v>
      </c>
      <c r="C32" s="106" t="s">
        <v>86</v>
      </c>
      <c r="D32" s="107"/>
      <c r="E32" s="8">
        <f>計算シート!B13</f>
        <v>4603200</v>
      </c>
      <c r="F32" s="5">
        <f>計算シート!C13</f>
        <v>0</v>
      </c>
      <c r="G32" s="6">
        <f>計算シート!D13</f>
        <v>0</v>
      </c>
    </row>
    <row r="33" spans="2:8" ht="27" customHeight="1" x14ac:dyDescent="0.2">
      <c r="B33" s="2" t="s">
        <v>49</v>
      </c>
      <c r="C33" s="102" t="s">
        <v>87</v>
      </c>
      <c r="D33" s="103"/>
      <c r="E33" s="10">
        <f>計算シート!B15</f>
        <v>2</v>
      </c>
      <c r="F33" s="10">
        <f>計算シート!C15</f>
        <v>0</v>
      </c>
      <c r="G33" s="12">
        <f>計算シート!D15</f>
        <v>0</v>
      </c>
      <c r="H33" s="11"/>
    </row>
    <row r="34" spans="2:8" ht="27" customHeight="1" x14ac:dyDescent="0.2">
      <c r="B34" s="2" t="s">
        <v>50</v>
      </c>
      <c r="C34" s="108" t="s">
        <v>88</v>
      </c>
      <c r="D34" s="103"/>
      <c r="E34" s="9">
        <f>計算シート!B16</f>
        <v>1470000</v>
      </c>
      <c r="F34" s="3">
        <f>計算シート!C16</f>
        <v>450000</v>
      </c>
      <c r="G34" s="4">
        <f>計算シート!D16</f>
        <v>450000</v>
      </c>
    </row>
    <row r="35" spans="2:8" ht="27" customHeight="1" x14ac:dyDescent="0.2">
      <c r="B35" s="2" t="s">
        <v>55</v>
      </c>
      <c r="C35" s="102" t="s">
        <v>129</v>
      </c>
      <c r="D35" s="103"/>
      <c r="E35" s="51">
        <f>計算シート!B32</f>
        <v>154300</v>
      </c>
      <c r="F35" s="3">
        <f>計算シート!C32</f>
        <v>0</v>
      </c>
      <c r="G35" s="4">
        <f>計算シート!D24</f>
        <v>0</v>
      </c>
    </row>
    <row r="36" spans="2:8" ht="27" customHeight="1" thickBot="1" x14ac:dyDescent="0.25">
      <c r="B36" s="43">
        <v>4</v>
      </c>
      <c r="C36" s="112" t="s">
        <v>140</v>
      </c>
      <c r="D36" s="113"/>
      <c r="E36" s="114">
        <f>計算シート!B36</f>
        <v>154300</v>
      </c>
      <c r="F36" s="115"/>
      <c r="G36" s="116"/>
    </row>
    <row r="37" spans="2:8" ht="27" customHeight="1" thickTop="1" thickBot="1" x14ac:dyDescent="0.25">
      <c r="B37" s="77"/>
      <c r="C37" s="104" t="s">
        <v>133</v>
      </c>
      <c r="D37" s="105"/>
      <c r="E37" s="99" t="str">
        <f>計算シート!B40</f>
        <v>第二種奨学金の家計基準に適格</v>
      </c>
      <c r="F37" s="100"/>
      <c r="G37" s="101"/>
      <c r="H37" s="14"/>
    </row>
    <row r="38" spans="2:8" ht="27" customHeight="1" thickTop="1" thickBot="1" x14ac:dyDescent="0.25">
      <c r="B38" s="76">
        <v>5</v>
      </c>
      <c r="C38" s="98" t="s">
        <v>148</v>
      </c>
      <c r="D38" s="98"/>
      <c r="E38" s="64" t="s">
        <v>151</v>
      </c>
      <c r="F38" s="64" t="s">
        <v>151</v>
      </c>
      <c r="G38" s="65" t="s">
        <v>151</v>
      </c>
    </row>
  </sheetData>
  <protectedRanges>
    <protectedRange sqref="E16:G30" name="範囲2"/>
    <protectedRange sqref="E10:E11" name="範囲1"/>
    <protectedRange sqref="G10:G11" name="範囲3"/>
  </protectedRanges>
  <mergeCells count="28">
    <mergeCell ref="C38:D38"/>
    <mergeCell ref="E37:G37"/>
    <mergeCell ref="C33:D33"/>
    <mergeCell ref="C27:D27"/>
    <mergeCell ref="C28:D28"/>
    <mergeCell ref="C35:D35"/>
    <mergeCell ref="C37:D37"/>
    <mergeCell ref="C32:D32"/>
    <mergeCell ref="C34:D34"/>
    <mergeCell ref="C29:D29"/>
    <mergeCell ref="C31:D31"/>
    <mergeCell ref="C30:D30"/>
    <mergeCell ref="C36:D36"/>
    <mergeCell ref="E36:G36"/>
    <mergeCell ref="C22:D22"/>
    <mergeCell ref="C23:C25"/>
    <mergeCell ref="C26:D26"/>
    <mergeCell ref="C20:D20"/>
    <mergeCell ref="C21:D21"/>
    <mergeCell ref="F8:G8"/>
    <mergeCell ref="B8:D8"/>
    <mergeCell ref="B9:D9"/>
    <mergeCell ref="B11:D11"/>
    <mergeCell ref="C19:D19"/>
    <mergeCell ref="C16:D16"/>
    <mergeCell ref="C17:C18"/>
    <mergeCell ref="C15:D15"/>
    <mergeCell ref="B10:D10"/>
  </mergeCells>
  <phoneticPr fontId="1"/>
  <dataValidations count="1">
    <dataValidation type="whole" allowBlank="1" showInputMessage="1" showErrorMessage="1" sqref="E8" xr:uid="{00000000-0002-0000-0000-000000000000}">
      <formula1>2000</formula1>
      <formula2>9999</formula2>
    </dataValidation>
  </dataValidations>
  <pageMargins left="0.25" right="0.25" top="0.75" bottom="0.75" header="0.3" footer="0.3"/>
  <pageSetup paperSize="9" scale="8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16693939-5631-40E4-8DF6-9BBEC5793151}">
            <xm:f>計算シート!$B$2=3</xm:f>
            <x14:dxf>
              <fill>
                <patternFill>
                  <bgColor theme="1"/>
                </patternFill>
              </fill>
            </x14:dxf>
          </x14:cfRule>
          <xm:sqref>E15:F35 E36 E38:F38</xm:sqref>
        </x14:conditionalFormatting>
        <x14:conditionalFormatting xmlns:xm="http://schemas.microsoft.com/office/excel/2006/main">
          <x14:cfRule type="expression" priority="5" id="{54ACC330-6A35-4911-99A3-4D20E03EFF41}">
            <xm:f>計算シート!$B$2=2</xm:f>
            <x14:dxf>
              <fill>
                <patternFill>
                  <bgColor theme="1"/>
                </patternFill>
              </fill>
            </x14:dxf>
          </x14:cfRule>
          <xm:sqref>F15:F35 F38</xm:sqref>
        </x14:conditionalFormatting>
        <x14:conditionalFormatting xmlns:xm="http://schemas.microsoft.com/office/excel/2006/main">
          <x14:cfRule type="expression" priority="2" id="{6DE741BF-8799-467F-A838-61FC8617B28C}">
            <xm:f>計算シート!B4=3</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G10</xm:sqref>
        </x14:conditionalFormatting>
        <x14:conditionalFormatting xmlns:xm="http://schemas.microsoft.com/office/excel/2006/main">
          <x14:cfRule type="expression" priority="1" id="{4559FD07-F0CB-4D89-B85B-7ABDAFAEC7F9}">
            <xm:f>計算シート!B2=2</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G11</xm:sqref>
        </x14:conditionalFormatting>
        <x14:conditionalFormatting xmlns:xm="http://schemas.microsoft.com/office/excel/2006/main">
          <x14:cfRule type="expression" priority="3" id="{3CF463A4-855B-4A19-A514-96BBC58BCF53}">
            <xm:f>計算シート!$B$2&lt;3</xm:f>
            <x14:dxf>
              <fill>
                <patternFill>
                  <bgColor theme="1"/>
                </patternFill>
              </fill>
            </x14:dxf>
          </x14:cfRule>
          <xm:sqref>G15:G35 G38</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1000000}">
          <x14:formula1>
            <xm:f>リストボックス!$A$2:$A$4</xm:f>
          </x14:formula1>
          <xm:sqref>E11</xm:sqref>
        </x14:dataValidation>
        <x14:dataValidation type="list" allowBlank="1" showInputMessage="1" showErrorMessage="1" xr:uid="{00000000-0002-0000-0000-000002000000}">
          <x14:formula1>
            <xm:f>リストボックス!$E$2:$E$3</xm:f>
          </x14:formula1>
          <xm:sqref>E20:G20</xm:sqref>
        </x14:dataValidation>
        <x14:dataValidation type="list" allowBlank="1" showInputMessage="1" showErrorMessage="1" xr:uid="{00000000-0002-0000-0000-000003000000}">
          <x14:formula1>
            <xm:f>リストボックス!$G$2:$G$3</xm:f>
          </x14:formula1>
          <xm:sqref>E29:G29</xm:sqref>
        </x14:dataValidation>
        <x14:dataValidation type="list" allowBlank="1" showInputMessage="1" showErrorMessage="1" xr:uid="{00000000-0002-0000-0000-000004000000}">
          <x14:formula1>
            <xm:f>リストボックス!$I$2:$I$5</xm:f>
          </x14:formula1>
          <xm:sqref>E22:G22</xm:sqref>
        </x14:dataValidation>
        <x14:dataValidation type="list" allowBlank="1" showInputMessage="1" showErrorMessage="1" xr:uid="{00000000-0002-0000-0000-000005000000}">
          <x14:formula1>
            <xm:f>リストボックス!$K$2:$K$5</xm:f>
          </x14:formula1>
          <xm:sqref>E17:G17</xm:sqref>
        </x14:dataValidation>
        <x14:dataValidation type="list" allowBlank="1" showInputMessage="1" showErrorMessage="1" xr:uid="{00000000-0002-0000-0000-000006000000}">
          <x14:formula1>
            <xm:f>リストボックス!$M$2:$M$6</xm:f>
          </x14:formula1>
          <xm:sqref>E18:G18</xm:sqref>
        </x14:dataValidation>
        <x14:dataValidation type="list" allowBlank="1" showInputMessage="1" showErrorMessage="1" xr:uid="{00000000-0002-0000-0000-000007000000}">
          <x14:formula1>
            <xm:f>リストボックス!$C$2:$C$6</xm:f>
          </x14:formula1>
          <xm:sqref>E9</xm:sqref>
        </x14:dataValidation>
        <x14:dataValidation type="list" allowBlank="1" showInputMessage="1" showErrorMessage="1" xr:uid="{00000000-0002-0000-0000-000008000000}">
          <x14:formula1>
            <xm:f>リストボックス!$O$2:$O$4</xm:f>
          </x14:formula1>
          <xm:sqref>E10</xm:sqref>
        </x14:dataValidation>
        <x14:dataValidation type="list" allowBlank="1" showInputMessage="1" showErrorMessage="1" xr:uid="{00000000-0002-0000-0000-000009000000}">
          <x14:formula1>
            <xm:f>リストボックス!$Q$2:$Q$3</xm:f>
          </x14:formula1>
          <xm:sqref>G10</xm:sqref>
        </x14:dataValidation>
        <x14:dataValidation type="list" allowBlank="1" showInputMessage="1" showErrorMessage="1" xr:uid="{00000000-0002-0000-0000-00000A000000}">
          <x14:formula1>
            <xm:f>リストボックス!$S$2:$S$4</xm:f>
          </x14:formula1>
          <xm:sqref>G11</xm:sqref>
        </x14:dataValidation>
        <x14:dataValidation type="list" allowBlank="1" showInputMessage="1" showErrorMessage="1" xr:uid="{3E0FF83D-E07E-4BBF-B89A-B95258F62951}">
          <x14:formula1>
            <xm:f>リストボックス!$U$2:$U$3</xm:f>
          </x14:formula1>
          <xm:sqref>E38:G38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38"/>
  <sheetViews>
    <sheetView view="pageBreakPreview" topLeftCell="D27" zoomScale="85" zoomScaleNormal="100" zoomScaleSheetLayoutView="85" workbookViewId="0">
      <selection activeCell="N40" sqref="N40"/>
    </sheetView>
  </sheetViews>
  <sheetFormatPr defaultRowHeight="13.2" x14ac:dyDescent="0.2"/>
  <cols>
    <col min="1" max="1" width="6.44140625" customWidth="1"/>
    <col min="2" max="2" width="7.109375" customWidth="1"/>
    <col min="4" max="4" width="24.33203125" customWidth="1"/>
    <col min="5" max="7" width="22.33203125" customWidth="1"/>
    <col min="8" max="8" width="0.33203125" customWidth="1"/>
    <col min="21" max="21" width="8.77734375" customWidth="1"/>
  </cols>
  <sheetData>
    <row r="1" spans="2:21" ht="23.25" customHeight="1" x14ac:dyDescent="0.2">
      <c r="B1" s="33" t="s">
        <v>160</v>
      </c>
      <c r="E1" s="38" t="s">
        <v>94</v>
      </c>
      <c r="G1" s="39">
        <f>MAX(修正履歴!A:A)</f>
        <v>45219</v>
      </c>
      <c r="H1" t="s">
        <v>96</v>
      </c>
      <c r="M1" s="41" t="s">
        <v>110</v>
      </c>
      <c r="U1" s="39">
        <f>MAX(修正履歴!A:A)</f>
        <v>45219</v>
      </c>
    </row>
    <row r="2" spans="2:21" x14ac:dyDescent="0.2">
      <c r="B2" s="66" t="s">
        <v>153</v>
      </c>
      <c r="G2" s="14"/>
    </row>
    <row r="3" spans="2:21" x14ac:dyDescent="0.2">
      <c r="B3" s="80" t="s">
        <v>154</v>
      </c>
      <c r="G3" s="14"/>
      <c r="I3" t="s">
        <v>114</v>
      </c>
    </row>
    <row r="4" spans="2:21" x14ac:dyDescent="0.2">
      <c r="B4" s="81" t="s">
        <v>155</v>
      </c>
      <c r="G4" s="14"/>
      <c r="I4" t="s">
        <v>115</v>
      </c>
    </row>
    <row r="5" spans="2:21" ht="13.5" customHeight="1" x14ac:dyDescent="0.2">
      <c r="B5" t="s">
        <v>109</v>
      </c>
      <c r="G5" s="14"/>
      <c r="I5" s="127" t="s">
        <v>161</v>
      </c>
      <c r="J5" s="127"/>
      <c r="K5" s="127"/>
      <c r="L5" s="127"/>
      <c r="M5" s="127"/>
      <c r="N5" s="127"/>
      <c r="O5" s="127"/>
      <c r="P5" s="127"/>
      <c r="Q5" s="127"/>
      <c r="R5" s="127"/>
      <c r="S5" s="127"/>
      <c r="T5" s="127"/>
      <c r="U5" s="127"/>
    </row>
    <row r="6" spans="2:21" ht="13.5" customHeight="1" x14ac:dyDescent="0.2">
      <c r="B6" s="34" t="s">
        <v>89</v>
      </c>
      <c r="G6" s="14" t="s">
        <v>97</v>
      </c>
      <c r="I6" s="127"/>
      <c r="J6" s="127"/>
      <c r="K6" s="127"/>
      <c r="L6" s="127"/>
      <c r="M6" s="127"/>
      <c r="N6" s="127"/>
      <c r="O6" s="127"/>
      <c r="P6" s="127"/>
      <c r="Q6" s="127"/>
      <c r="R6" s="127"/>
      <c r="S6" s="127"/>
      <c r="T6" s="127"/>
      <c r="U6" s="127"/>
    </row>
    <row r="7" spans="2:21" ht="24.75" customHeight="1" x14ac:dyDescent="0.2">
      <c r="B7" s="79" t="s">
        <v>92</v>
      </c>
      <c r="G7" s="14"/>
      <c r="I7" s="127"/>
      <c r="J7" s="127"/>
      <c r="K7" s="127"/>
      <c r="L7" s="127"/>
      <c r="M7" s="127"/>
      <c r="N7" s="127"/>
      <c r="O7" s="127"/>
      <c r="P7" s="127"/>
      <c r="Q7" s="127"/>
      <c r="R7" s="127"/>
      <c r="S7" s="127"/>
      <c r="T7" s="127"/>
      <c r="U7" s="127"/>
    </row>
    <row r="8" spans="2:21" ht="27" customHeight="1" x14ac:dyDescent="0.2">
      <c r="B8" s="83" t="s">
        <v>157</v>
      </c>
      <c r="C8" s="84"/>
      <c r="D8" s="84"/>
      <c r="E8" s="67">
        <v>2024</v>
      </c>
      <c r="F8" s="82" t="s">
        <v>95</v>
      </c>
      <c r="G8" s="82"/>
      <c r="I8" s="127"/>
      <c r="J8" s="127"/>
      <c r="K8" s="127"/>
      <c r="L8" s="127"/>
      <c r="M8" s="127"/>
      <c r="N8" s="127"/>
      <c r="O8" s="127"/>
      <c r="P8" s="127"/>
      <c r="Q8" s="127"/>
      <c r="R8" s="127"/>
      <c r="S8" s="127"/>
      <c r="T8" s="127"/>
      <c r="U8" s="127"/>
    </row>
    <row r="9" spans="2:21" ht="27" customHeight="1" x14ac:dyDescent="0.2">
      <c r="B9" s="85" t="s">
        <v>158</v>
      </c>
      <c r="C9" s="84"/>
      <c r="D9" s="84"/>
      <c r="E9" s="68" t="s">
        <v>61</v>
      </c>
      <c r="I9" s="127"/>
      <c r="J9" s="127"/>
      <c r="K9" s="127"/>
      <c r="L9" s="127"/>
      <c r="M9" s="127"/>
      <c r="N9" s="127"/>
      <c r="O9" s="127"/>
      <c r="P9" s="127"/>
      <c r="Q9" s="127"/>
      <c r="R9" s="127"/>
      <c r="S9" s="127"/>
      <c r="T9" s="127"/>
      <c r="U9" s="127"/>
    </row>
    <row r="10" spans="2:21" ht="27" customHeight="1" thickBot="1" x14ac:dyDescent="0.25">
      <c r="B10" s="95" t="s">
        <v>159</v>
      </c>
      <c r="C10" s="96"/>
      <c r="D10" s="96"/>
      <c r="E10" s="69" t="s">
        <v>127</v>
      </c>
      <c r="F10" s="49" t="str">
        <f>IF(計算シート!B4=3,"両方を希望した場合の優先順位を選択してください。","")</f>
        <v/>
      </c>
      <c r="G10" s="50" t="s">
        <v>131</v>
      </c>
      <c r="I10" s="127"/>
      <c r="J10" s="127"/>
      <c r="K10" s="127"/>
      <c r="L10" s="127"/>
      <c r="M10" s="127"/>
      <c r="N10" s="127"/>
      <c r="O10" s="127"/>
      <c r="P10" s="127"/>
      <c r="Q10" s="127"/>
      <c r="R10" s="127"/>
      <c r="S10" s="127"/>
      <c r="T10" s="127"/>
      <c r="U10" s="127"/>
    </row>
    <row r="11" spans="2:21" ht="27" customHeight="1" thickBot="1" x14ac:dyDescent="0.25">
      <c r="B11" s="86" t="s">
        <v>19</v>
      </c>
      <c r="C11" s="87"/>
      <c r="D11" s="87"/>
      <c r="E11" s="70" t="s">
        <v>57</v>
      </c>
      <c r="F11" s="49" t="str">
        <f>IF(計算シート!B2=2,"生計維持者１の続柄を選択してください。","")</f>
        <v/>
      </c>
      <c r="G11" s="50" t="s">
        <v>144</v>
      </c>
      <c r="I11" s="127"/>
      <c r="J11" s="127"/>
      <c r="K11" s="127"/>
      <c r="L11" s="127"/>
      <c r="M11" s="127"/>
      <c r="N11" s="127"/>
      <c r="O11" s="127"/>
      <c r="P11" s="127"/>
      <c r="Q11" s="127"/>
      <c r="R11" s="127"/>
      <c r="S11" s="127"/>
      <c r="T11" s="127"/>
      <c r="U11" s="127"/>
    </row>
    <row r="12" spans="2:21" ht="27" customHeight="1" x14ac:dyDescent="0.2">
      <c r="B12" s="35" t="s">
        <v>91</v>
      </c>
      <c r="C12" s="15"/>
      <c r="D12" s="15"/>
      <c r="E12" s="15"/>
      <c r="I12" s="42"/>
      <c r="J12" s="42"/>
      <c r="K12" s="42"/>
      <c r="L12" s="42"/>
      <c r="M12" s="42"/>
      <c r="N12" s="42"/>
      <c r="O12" s="42"/>
      <c r="P12" s="42"/>
      <c r="Q12" s="42"/>
      <c r="R12" s="42"/>
      <c r="S12" s="42"/>
      <c r="T12" s="42"/>
      <c r="U12" s="42"/>
    </row>
    <row r="13" spans="2:21" ht="24" customHeight="1" x14ac:dyDescent="0.2">
      <c r="B13" s="20" t="s">
        <v>93</v>
      </c>
      <c r="C13" s="15"/>
      <c r="D13" s="15"/>
      <c r="E13" s="15"/>
      <c r="I13" s="42"/>
      <c r="J13" s="42"/>
      <c r="K13" s="42"/>
      <c r="L13" s="42"/>
      <c r="M13" s="42"/>
      <c r="N13" s="42"/>
      <c r="O13" s="42"/>
      <c r="P13" s="42"/>
      <c r="Q13" s="42"/>
      <c r="R13" s="42"/>
      <c r="S13" s="42"/>
      <c r="T13" s="42"/>
      <c r="U13" s="42"/>
    </row>
    <row r="14" spans="2:21" ht="24" customHeight="1" thickBot="1" x14ac:dyDescent="0.25">
      <c r="B14" s="79" t="s">
        <v>111</v>
      </c>
      <c r="C14" s="15"/>
      <c r="D14" s="15"/>
      <c r="E14" s="15"/>
      <c r="I14" s="42"/>
      <c r="J14" s="42"/>
      <c r="K14" s="42"/>
      <c r="L14" s="42"/>
      <c r="M14" s="42"/>
      <c r="N14" s="42"/>
      <c r="O14" s="42"/>
      <c r="P14" s="42"/>
      <c r="Q14" s="42"/>
      <c r="R14" s="42"/>
      <c r="S14" s="42"/>
      <c r="T14" s="42"/>
      <c r="U14" s="42"/>
    </row>
    <row r="15" spans="2:21" ht="27" customHeight="1" thickBot="1" x14ac:dyDescent="0.25">
      <c r="B15" s="16" t="s">
        <v>34</v>
      </c>
      <c r="C15" s="93" t="s">
        <v>31</v>
      </c>
      <c r="D15" s="94"/>
      <c r="E15" s="17" t="s">
        <v>9</v>
      </c>
      <c r="F15" s="18" t="s">
        <v>10</v>
      </c>
      <c r="G15" s="52" t="s">
        <v>11</v>
      </c>
    </row>
    <row r="16" spans="2:21" ht="27" customHeight="1" thickTop="1" x14ac:dyDescent="0.2">
      <c r="B16" s="73" t="s">
        <v>36</v>
      </c>
      <c r="C16" s="90" t="s">
        <v>78</v>
      </c>
      <c r="D16" s="91"/>
      <c r="E16" s="27">
        <v>4603200</v>
      </c>
      <c r="F16" s="28">
        <v>0</v>
      </c>
      <c r="G16" s="53"/>
    </row>
    <row r="17" spans="2:21" ht="27" customHeight="1" x14ac:dyDescent="0.2">
      <c r="B17" s="74" t="s">
        <v>37</v>
      </c>
      <c r="C17" s="92" t="s">
        <v>4</v>
      </c>
      <c r="D17" s="71" t="s">
        <v>17</v>
      </c>
      <c r="E17" s="21" t="s">
        <v>67</v>
      </c>
      <c r="F17" s="22" t="s">
        <v>67</v>
      </c>
      <c r="G17" s="54" t="s">
        <v>67</v>
      </c>
    </row>
    <row r="18" spans="2:21" ht="27" customHeight="1" x14ac:dyDescent="0.2">
      <c r="B18" s="74" t="s">
        <v>38</v>
      </c>
      <c r="C18" s="92"/>
      <c r="D18" s="71" t="s">
        <v>113</v>
      </c>
      <c r="E18" s="21" t="s">
        <v>67</v>
      </c>
      <c r="F18" s="22" t="s">
        <v>67</v>
      </c>
      <c r="G18" s="54" t="s">
        <v>67</v>
      </c>
    </row>
    <row r="19" spans="2:21" ht="27" customHeight="1" x14ac:dyDescent="0.2">
      <c r="B19" s="74" t="s">
        <v>39</v>
      </c>
      <c r="C19" s="88" t="s">
        <v>5</v>
      </c>
      <c r="D19" s="89"/>
      <c r="E19" s="30">
        <v>26877</v>
      </c>
      <c r="F19" s="31">
        <v>28043</v>
      </c>
      <c r="G19" s="55"/>
    </row>
    <row r="20" spans="2:21" ht="27" customHeight="1" x14ac:dyDescent="0.2">
      <c r="B20" s="74" t="s">
        <v>40</v>
      </c>
      <c r="C20" s="125" t="s">
        <v>112</v>
      </c>
      <c r="D20" s="126"/>
      <c r="E20" s="21" t="s">
        <v>63</v>
      </c>
      <c r="F20" s="22" t="s">
        <v>63</v>
      </c>
      <c r="G20" s="54" t="s">
        <v>63</v>
      </c>
    </row>
    <row r="21" spans="2:21" ht="27" customHeight="1" x14ac:dyDescent="0.2">
      <c r="B21" s="74" t="s">
        <v>42</v>
      </c>
      <c r="C21" s="90" t="s">
        <v>79</v>
      </c>
      <c r="D21" s="91"/>
      <c r="E21" s="27">
        <v>0</v>
      </c>
      <c r="F21" s="28">
        <v>0</v>
      </c>
      <c r="G21" s="53"/>
    </row>
    <row r="22" spans="2:21" ht="27" customHeight="1" x14ac:dyDescent="0.2">
      <c r="B22" s="74" t="s">
        <v>44</v>
      </c>
      <c r="C22" s="90" t="s">
        <v>2</v>
      </c>
      <c r="D22" s="91"/>
      <c r="E22" s="21" t="s">
        <v>67</v>
      </c>
      <c r="F22" s="22" t="s">
        <v>67</v>
      </c>
      <c r="G22" s="54" t="s">
        <v>67</v>
      </c>
    </row>
    <row r="23" spans="2:21" ht="27" customHeight="1" x14ac:dyDescent="0.2">
      <c r="B23" s="74" t="s">
        <v>45</v>
      </c>
      <c r="C23" s="92" t="s">
        <v>3</v>
      </c>
      <c r="D23" s="71" t="s">
        <v>80</v>
      </c>
      <c r="E23" s="24">
        <v>1</v>
      </c>
      <c r="F23" s="25">
        <v>0</v>
      </c>
      <c r="G23" s="56"/>
    </row>
    <row r="24" spans="2:21" ht="27" customHeight="1" x14ac:dyDescent="0.2">
      <c r="B24" s="74" t="s">
        <v>46</v>
      </c>
      <c r="C24" s="92"/>
      <c r="D24" s="71" t="s">
        <v>81</v>
      </c>
      <c r="E24" s="24">
        <v>0</v>
      </c>
      <c r="F24" s="25">
        <v>0</v>
      </c>
      <c r="G24" s="56"/>
    </row>
    <row r="25" spans="2:21" ht="27" customHeight="1" x14ac:dyDescent="0.2">
      <c r="B25" s="74" t="s">
        <v>47</v>
      </c>
      <c r="C25" s="92"/>
      <c r="D25" s="71" t="s">
        <v>82</v>
      </c>
      <c r="E25" s="24">
        <v>0</v>
      </c>
      <c r="F25" s="25">
        <v>0</v>
      </c>
      <c r="G25" s="56"/>
    </row>
    <row r="26" spans="2:21" ht="27" customHeight="1" x14ac:dyDescent="0.2">
      <c r="B26" s="74" t="s">
        <v>48</v>
      </c>
      <c r="C26" s="90" t="s">
        <v>83</v>
      </c>
      <c r="D26" s="91"/>
      <c r="E26" s="24">
        <v>1</v>
      </c>
      <c r="F26" s="25">
        <v>0</v>
      </c>
      <c r="G26" s="56"/>
    </row>
    <row r="27" spans="2:21" ht="27" customHeight="1" x14ac:dyDescent="0.2">
      <c r="B27" s="74" t="s">
        <v>51</v>
      </c>
      <c r="C27" s="90" t="s">
        <v>84</v>
      </c>
      <c r="D27" s="91"/>
      <c r="E27" s="27">
        <v>2597000</v>
      </c>
      <c r="F27" s="28">
        <v>0</v>
      </c>
      <c r="G27" s="53"/>
      <c r="I27" s="117" t="s">
        <v>162</v>
      </c>
      <c r="J27" s="117"/>
      <c r="K27" s="117"/>
      <c r="L27" s="117"/>
      <c r="M27" s="117"/>
      <c r="N27" s="117"/>
      <c r="O27" s="117"/>
      <c r="P27" s="117"/>
      <c r="Q27" s="117"/>
      <c r="R27" s="117"/>
      <c r="S27" s="117"/>
      <c r="T27" s="117"/>
      <c r="U27" s="117"/>
    </row>
    <row r="28" spans="2:21" ht="27" customHeight="1" x14ac:dyDescent="0.2">
      <c r="B28" s="74" t="s">
        <v>53</v>
      </c>
      <c r="C28" s="90" t="s">
        <v>85</v>
      </c>
      <c r="D28" s="91"/>
      <c r="E28" s="27">
        <v>1500</v>
      </c>
      <c r="F28" s="28">
        <v>0</v>
      </c>
      <c r="G28" s="53"/>
      <c r="I28" s="117"/>
      <c r="J28" s="117"/>
      <c r="K28" s="117"/>
      <c r="L28" s="117"/>
      <c r="M28" s="117"/>
      <c r="N28" s="117"/>
      <c r="O28" s="117"/>
      <c r="P28" s="117"/>
      <c r="Q28" s="117"/>
      <c r="R28" s="117"/>
      <c r="S28" s="117"/>
      <c r="T28" s="117"/>
      <c r="U28" s="117"/>
    </row>
    <row r="29" spans="2:21" ht="27" customHeight="1" x14ac:dyDescent="0.2">
      <c r="B29" s="74" t="s">
        <v>54</v>
      </c>
      <c r="C29" s="90" t="s">
        <v>7</v>
      </c>
      <c r="D29" s="91"/>
      <c r="E29" s="21" t="s">
        <v>65</v>
      </c>
      <c r="F29" s="22" t="s">
        <v>65</v>
      </c>
      <c r="G29" s="53"/>
      <c r="I29" s="117"/>
      <c r="J29" s="117"/>
      <c r="K29" s="117"/>
      <c r="L29" s="117"/>
      <c r="M29" s="117"/>
      <c r="N29" s="117"/>
      <c r="O29" s="117"/>
      <c r="P29" s="117"/>
      <c r="Q29" s="117"/>
      <c r="R29" s="117"/>
      <c r="S29" s="117"/>
      <c r="T29" s="117"/>
      <c r="U29" s="117"/>
    </row>
    <row r="30" spans="2:21" ht="27" customHeight="1" thickBot="1" x14ac:dyDescent="0.25">
      <c r="B30" s="75">
        <v>4</v>
      </c>
      <c r="C30" s="110" t="s">
        <v>116</v>
      </c>
      <c r="D30" s="111"/>
      <c r="E30" s="45">
        <v>2</v>
      </c>
      <c r="F30" s="45">
        <v>0</v>
      </c>
      <c r="G30" s="57" t="s">
        <v>65</v>
      </c>
      <c r="I30" s="117"/>
      <c r="J30" s="117"/>
      <c r="K30" s="117"/>
      <c r="L30" s="117"/>
      <c r="M30" s="117"/>
      <c r="N30" s="117"/>
      <c r="O30" s="117"/>
      <c r="P30" s="117"/>
      <c r="Q30" s="117"/>
      <c r="R30" s="117"/>
      <c r="S30" s="117"/>
      <c r="T30" s="117"/>
      <c r="U30" s="117"/>
    </row>
    <row r="31" spans="2:21" ht="27" customHeight="1" thickTop="1" x14ac:dyDescent="0.2">
      <c r="B31" s="13" t="s">
        <v>41</v>
      </c>
      <c r="C31" s="109" t="s">
        <v>35</v>
      </c>
      <c r="D31" s="107"/>
      <c r="E31" s="8">
        <v>0</v>
      </c>
      <c r="F31" s="5">
        <v>0</v>
      </c>
      <c r="G31" s="58">
        <v>0</v>
      </c>
      <c r="I31" s="117"/>
      <c r="J31" s="117"/>
      <c r="K31" s="117"/>
      <c r="L31" s="117"/>
      <c r="M31" s="117"/>
      <c r="N31" s="117"/>
      <c r="O31" s="117"/>
      <c r="P31" s="117"/>
      <c r="Q31" s="117"/>
      <c r="R31" s="117"/>
      <c r="S31" s="117"/>
      <c r="T31" s="117"/>
      <c r="U31" s="117"/>
    </row>
    <row r="32" spans="2:21" ht="27" customHeight="1" x14ac:dyDescent="0.2">
      <c r="B32" s="2" t="s">
        <v>43</v>
      </c>
      <c r="C32" s="106" t="s">
        <v>86</v>
      </c>
      <c r="D32" s="107"/>
      <c r="E32" s="8">
        <v>4603200</v>
      </c>
      <c r="F32" s="5">
        <v>0</v>
      </c>
      <c r="G32" s="58">
        <v>0</v>
      </c>
      <c r="I32" s="117"/>
      <c r="J32" s="117"/>
      <c r="K32" s="117"/>
      <c r="L32" s="117"/>
      <c r="M32" s="117"/>
      <c r="N32" s="117"/>
      <c r="O32" s="117"/>
      <c r="P32" s="117"/>
      <c r="Q32" s="117"/>
      <c r="R32" s="117"/>
      <c r="S32" s="117"/>
      <c r="T32" s="117"/>
      <c r="U32" s="117"/>
    </row>
    <row r="33" spans="2:21" ht="27" customHeight="1" x14ac:dyDescent="0.2">
      <c r="B33" s="2" t="s">
        <v>49</v>
      </c>
      <c r="C33" s="102" t="s">
        <v>87</v>
      </c>
      <c r="D33" s="103"/>
      <c r="E33" s="10">
        <v>2</v>
      </c>
      <c r="F33" s="10">
        <v>0</v>
      </c>
      <c r="G33" s="59">
        <v>0</v>
      </c>
      <c r="H33" s="11"/>
      <c r="I33" s="117"/>
      <c r="J33" s="117"/>
      <c r="K33" s="117"/>
      <c r="L33" s="117"/>
      <c r="M33" s="117"/>
      <c r="N33" s="117"/>
      <c r="O33" s="117"/>
      <c r="P33" s="117"/>
      <c r="Q33" s="117"/>
      <c r="R33" s="117"/>
      <c r="S33" s="117"/>
      <c r="T33" s="117"/>
      <c r="U33" s="117"/>
    </row>
    <row r="34" spans="2:21" ht="27" customHeight="1" x14ac:dyDescent="0.2">
      <c r="B34" s="2" t="s">
        <v>50</v>
      </c>
      <c r="C34" s="108" t="s">
        <v>88</v>
      </c>
      <c r="D34" s="103"/>
      <c r="E34" s="9">
        <v>1470000</v>
      </c>
      <c r="F34" s="3">
        <v>350000</v>
      </c>
      <c r="G34" s="53">
        <v>0</v>
      </c>
      <c r="I34" s="117"/>
      <c r="J34" s="117"/>
      <c r="K34" s="117"/>
      <c r="L34" s="117"/>
      <c r="M34" s="117"/>
      <c r="N34" s="117"/>
      <c r="O34" s="117"/>
      <c r="P34" s="117"/>
      <c r="Q34" s="117"/>
      <c r="R34" s="117"/>
      <c r="S34" s="117"/>
      <c r="T34" s="117"/>
      <c r="U34" s="117"/>
    </row>
    <row r="35" spans="2:21" ht="27" customHeight="1" thickBot="1" x14ac:dyDescent="0.25">
      <c r="B35" s="7" t="s">
        <v>55</v>
      </c>
      <c r="C35" s="118" t="s">
        <v>147</v>
      </c>
      <c r="D35" s="119"/>
      <c r="E35" s="36">
        <v>154300</v>
      </c>
      <c r="F35" s="37">
        <v>0</v>
      </c>
      <c r="G35" s="60">
        <v>0</v>
      </c>
      <c r="I35" s="117"/>
      <c r="J35" s="117"/>
      <c r="K35" s="117"/>
      <c r="L35" s="117"/>
      <c r="M35" s="117"/>
      <c r="N35" s="117"/>
      <c r="O35" s="117"/>
      <c r="P35" s="117"/>
      <c r="Q35" s="117"/>
      <c r="R35" s="117"/>
      <c r="S35" s="117"/>
      <c r="T35" s="117"/>
      <c r="U35" s="117"/>
    </row>
    <row r="36" spans="2:21" ht="27" customHeight="1" thickTop="1" thickBot="1" x14ac:dyDescent="0.25">
      <c r="B36" s="43">
        <v>4</v>
      </c>
      <c r="C36" s="112" t="s">
        <v>140</v>
      </c>
      <c r="D36" s="113"/>
      <c r="E36" s="114">
        <v>154300</v>
      </c>
      <c r="F36" s="115"/>
      <c r="G36" s="116"/>
      <c r="I36" s="117"/>
      <c r="J36" s="117"/>
      <c r="K36" s="117"/>
      <c r="L36" s="117"/>
      <c r="M36" s="117"/>
      <c r="N36" s="117"/>
      <c r="O36" s="117"/>
      <c r="P36" s="117"/>
      <c r="Q36" s="117"/>
      <c r="R36" s="117"/>
      <c r="S36" s="117"/>
      <c r="T36" s="117"/>
      <c r="U36" s="117"/>
    </row>
    <row r="37" spans="2:21" ht="40.200000000000003" customHeight="1" thickTop="1" thickBot="1" x14ac:dyDescent="0.25">
      <c r="B37" s="78"/>
      <c r="C37" s="120" t="s">
        <v>133</v>
      </c>
      <c r="D37" s="121"/>
      <c r="E37" s="122" t="s">
        <v>156</v>
      </c>
      <c r="F37" s="123"/>
      <c r="G37" s="124"/>
      <c r="H37" s="14"/>
      <c r="I37" s="117"/>
      <c r="J37" s="117"/>
      <c r="K37" s="117"/>
      <c r="L37" s="117"/>
      <c r="M37" s="117"/>
      <c r="N37" s="117"/>
      <c r="O37" s="117"/>
      <c r="P37" s="117"/>
      <c r="Q37" s="117"/>
      <c r="R37" s="117"/>
      <c r="S37" s="117"/>
      <c r="T37" s="117"/>
      <c r="U37" s="117"/>
    </row>
    <row r="38" spans="2:21" ht="35.4" customHeight="1" thickBot="1" x14ac:dyDescent="0.25">
      <c r="B38" s="76">
        <v>5</v>
      </c>
      <c r="C38" s="98" t="s">
        <v>148</v>
      </c>
      <c r="D38" s="98"/>
      <c r="E38" s="64" t="s">
        <v>151</v>
      </c>
      <c r="F38" s="64" t="s">
        <v>151</v>
      </c>
      <c r="G38" s="65" t="s">
        <v>151</v>
      </c>
      <c r="I38" s="117"/>
      <c r="J38" s="117"/>
      <c r="K38" s="117"/>
      <c r="L38" s="117"/>
      <c r="M38" s="117"/>
      <c r="N38" s="117"/>
      <c r="O38" s="117"/>
      <c r="P38" s="117"/>
      <c r="Q38" s="117"/>
      <c r="R38" s="117"/>
      <c r="S38" s="117"/>
      <c r="T38" s="117"/>
      <c r="U38" s="117"/>
    </row>
  </sheetData>
  <protectedRanges>
    <protectedRange sqref="E10:E11" name="範囲1"/>
    <protectedRange sqref="E8:E9" name="範囲1_1"/>
    <protectedRange sqref="E28:E30 F30" name="範囲2"/>
  </protectedRanges>
  <mergeCells count="30">
    <mergeCell ref="C23:C25"/>
    <mergeCell ref="C31:D31"/>
    <mergeCell ref="C17:C18"/>
    <mergeCell ref="B8:D8"/>
    <mergeCell ref="B9:D9"/>
    <mergeCell ref="B11:D11"/>
    <mergeCell ref="C15:D15"/>
    <mergeCell ref="C16:D16"/>
    <mergeCell ref="B10:D10"/>
    <mergeCell ref="C26:D26"/>
    <mergeCell ref="C27:D27"/>
    <mergeCell ref="C28:D28"/>
    <mergeCell ref="C29:D29"/>
    <mergeCell ref="C30:D30"/>
    <mergeCell ref="C38:D38"/>
    <mergeCell ref="C36:D36"/>
    <mergeCell ref="E36:G36"/>
    <mergeCell ref="F8:G8"/>
    <mergeCell ref="I5:U11"/>
    <mergeCell ref="I27:U38"/>
    <mergeCell ref="C33:D33"/>
    <mergeCell ref="C34:D34"/>
    <mergeCell ref="C35:D35"/>
    <mergeCell ref="C37:D37"/>
    <mergeCell ref="E37:G37"/>
    <mergeCell ref="C32:D32"/>
    <mergeCell ref="C19:D19"/>
    <mergeCell ref="C20:D20"/>
    <mergeCell ref="C21:D21"/>
    <mergeCell ref="C22:D22"/>
  </mergeCells>
  <phoneticPr fontId="1"/>
  <dataValidations count="1">
    <dataValidation type="whole" allowBlank="1" showInputMessage="1" showErrorMessage="1" sqref="E8" xr:uid="{00000000-0002-0000-0100-000000000000}">
      <formula1>2000</formula1>
      <formula2>9999</formula2>
    </dataValidation>
  </dataValidations>
  <pageMargins left="0.23622047244094491" right="0.23622047244094491" top="0.74803149606299213" bottom="0.74803149606299213" header="0.31496062992125984" footer="0.31496062992125984"/>
  <pageSetup paperSize="9" scale="82" fitToWidth="2" orientation="portrait" r:id="rId1"/>
  <rowBreaks count="1" manualBreakCount="1">
    <brk id="38" max="20" man="1"/>
  </rowBreaks>
  <colBreaks count="1" manualBreakCount="1">
    <brk id="8" max="37" man="1"/>
  </colBreaks>
  <drawing r:id="rId2"/>
  <extLst>
    <ext xmlns:x14="http://schemas.microsoft.com/office/spreadsheetml/2009/9/main" uri="{78C0D931-6437-407d-A8EE-F0AAD7539E65}">
      <x14:conditionalFormattings>
        <x14:conditionalFormatting xmlns:xm="http://schemas.microsoft.com/office/excel/2006/main">
          <x14:cfRule type="expression" priority="5" id="{054611F8-9BE4-41EC-A1DC-3BF7DD4F33DF}">
            <xm:f>計算シート!$B$2=3</xm:f>
            <x14:dxf>
              <fill>
                <patternFill>
                  <bgColor theme="1"/>
                </patternFill>
              </fill>
            </x14:dxf>
          </x14:cfRule>
          <xm:sqref>E36</xm:sqref>
        </x14:conditionalFormatting>
        <x14:conditionalFormatting xmlns:xm="http://schemas.microsoft.com/office/excel/2006/main">
          <x14:cfRule type="expression" priority="4" id="{D3EF4992-C16F-4ED1-91DF-6064D5A085AE}">
            <xm:f>計算シート!$B$2=3</xm:f>
            <x14:dxf>
              <fill>
                <patternFill>
                  <bgColor theme="1"/>
                </patternFill>
              </fill>
            </x14:dxf>
          </x14:cfRule>
          <xm:sqref>E15:F35</xm:sqref>
        </x14:conditionalFormatting>
        <x14:conditionalFormatting xmlns:xm="http://schemas.microsoft.com/office/excel/2006/main">
          <x14:cfRule type="expression" priority="3" id="{625E7615-F77C-4BA3-89F5-072CEF492447}">
            <xm:f>計算シート!$B$2=3</xm:f>
            <x14:dxf>
              <fill>
                <patternFill>
                  <bgColor theme="1"/>
                </patternFill>
              </fill>
            </x14:dxf>
          </x14:cfRule>
          <xm:sqref>E38:F38</xm:sqref>
        </x14:conditionalFormatting>
        <x14:conditionalFormatting xmlns:xm="http://schemas.microsoft.com/office/excel/2006/main">
          <x14:cfRule type="expression" priority="10" id="{D183E929-F027-4931-8E84-DFE59E4C8485}">
            <xm:f>計算シート!$B$2=2</xm:f>
            <x14:dxf>
              <fill>
                <patternFill>
                  <bgColor theme="1"/>
                </patternFill>
              </fill>
            </x14:dxf>
          </x14:cfRule>
          <xm:sqref>F15:F29 F31:F35</xm:sqref>
        </x14:conditionalFormatting>
        <x14:conditionalFormatting xmlns:xm="http://schemas.microsoft.com/office/excel/2006/main">
          <x14:cfRule type="expression" priority="2" id="{B598195E-48C1-4ED5-94AA-AA1E21DA2D82}">
            <xm:f>計算シート!$B$2=2</xm:f>
            <x14:dxf>
              <fill>
                <patternFill>
                  <bgColor theme="1"/>
                </patternFill>
              </fill>
            </x14:dxf>
          </x14:cfRule>
          <xm:sqref>F38</xm:sqref>
        </x14:conditionalFormatting>
        <x14:conditionalFormatting xmlns:xm="http://schemas.microsoft.com/office/excel/2006/main">
          <x14:cfRule type="expression" priority="8" id="{6405DE81-AB5B-4963-9EFC-BA9C498E0216}">
            <xm:f>計算シート!B4=3</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G10</xm:sqref>
        </x14:conditionalFormatting>
        <x14:conditionalFormatting xmlns:xm="http://schemas.microsoft.com/office/excel/2006/main">
          <x14:cfRule type="expression" priority="7" id="{31D9E34F-6AC5-4389-8FBC-2F8B9534CFCB}">
            <xm:f>計算シート!B2=2</xm:f>
            <x14:dxf>
              <font>
                <color theme="1"/>
              </font>
              <fill>
                <patternFill>
                  <bgColor rgb="FFCCFFFF"/>
                </patternFill>
              </fill>
              <border>
                <left style="thin">
                  <color auto="1"/>
                </left>
                <right style="thin">
                  <color auto="1"/>
                </right>
                <top style="thin">
                  <color auto="1"/>
                </top>
                <bottom style="thin">
                  <color auto="1"/>
                </bottom>
                <vertical/>
                <horizontal/>
              </border>
            </x14:dxf>
          </x14:cfRule>
          <xm:sqref>G11</xm:sqref>
        </x14:conditionalFormatting>
        <x14:conditionalFormatting xmlns:xm="http://schemas.microsoft.com/office/excel/2006/main">
          <x14:cfRule type="expression" priority="9" id="{81EBBC7B-4231-4D4F-9859-18074803200F}">
            <xm:f>計算シート!$B$2=3</xm:f>
            <x14:dxf>
              <fill>
                <patternFill>
                  <bgColor theme="1"/>
                </patternFill>
              </fill>
            </x14:dxf>
          </x14:cfRule>
          <xm:sqref>G33</xm:sqref>
        </x14:conditionalFormatting>
        <x14:conditionalFormatting xmlns:xm="http://schemas.microsoft.com/office/excel/2006/main">
          <x14:cfRule type="expression" priority="1" id="{F2342CCD-743A-49A2-8FA5-A4A88E962430}">
            <xm:f>計算シート!$B$2&lt;3</xm:f>
            <x14:dxf>
              <fill>
                <patternFill>
                  <bgColor theme="1"/>
                </patternFill>
              </fill>
            </x14:dxf>
          </x14:cfRule>
          <xm:sqref>G38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リストボックス!$S$2:$S$4</xm:f>
          </x14:formula1>
          <xm:sqref>G11</xm:sqref>
        </x14:dataValidation>
        <x14:dataValidation type="list" allowBlank="1" showInputMessage="1" showErrorMessage="1" xr:uid="{00000000-0002-0000-0100-000002000000}">
          <x14:formula1>
            <xm:f>リストボックス!$Q$2:$Q$3</xm:f>
          </x14:formula1>
          <xm:sqref>G10</xm:sqref>
        </x14:dataValidation>
        <x14:dataValidation type="list" allowBlank="1" showInputMessage="1" showErrorMessage="1" xr:uid="{00000000-0002-0000-0100-000003000000}">
          <x14:formula1>
            <xm:f>リストボックス!$O$2:$O$4</xm:f>
          </x14:formula1>
          <xm:sqref>E10</xm:sqref>
        </x14:dataValidation>
        <x14:dataValidation type="list" allowBlank="1" showInputMessage="1" showErrorMessage="1" xr:uid="{00000000-0002-0000-0100-000004000000}">
          <x14:formula1>
            <xm:f>リストボックス!$A$2:$A$4</xm:f>
          </x14:formula1>
          <xm:sqref>E11</xm:sqref>
        </x14:dataValidation>
        <x14:dataValidation type="list" allowBlank="1" showInputMessage="1" showErrorMessage="1" xr:uid="{00000000-0002-0000-0100-000005000000}">
          <x14:formula1>
            <xm:f>リストボックス!$C$2:$C$6</xm:f>
          </x14:formula1>
          <xm:sqref>E9</xm:sqref>
        </x14:dataValidation>
        <x14:dataValidation type="list" allowBlank="1" showInputMessage="1" showErrorMessage="1" xr:uid="{00000000-0002-0000-0100-000006000000}">
          <x14:formula1>
            <xm:f>リストボックス!$G$2:$G$3</xm:f>
          </x14:formula1>
          <xm:sqref>E29</xm:sqref>
        </x14:dataValidation>
        <x14:dataValidation type="list" allowBlank="1" showInputMessage="1" showErrorMessage="1" xr:uid="{6827F271-7DBD-41D0-B5A8-5608C4C44116}">
          <x14:formula1>
            <xm:f>リストボックス!$U$2:$U$3</xm:f>
          </x14:formula1>
          <xm:sqref>E38:G38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
  <sheetViews>
    <sheetView workbookViewId="0">
      <selection activeCell="O3" sqref="O3"/>
    </sheetView>
  </sheetViews>
  <sheetFormatPr defaultRowHeight="13.2" x14ac:dyDescent="0.2"/>
  <sheetData>
    <row r="1" spans="1:22" x14ac:dyDescent="0.2">
      <c r="A1" t="s">
        <v>19</v>
      </c>
      <c r="B1" t="s">
        <v>56</v>
      </c>
      <c r="C1" t="s">
        <v>14</v>
      </c>
      <c r="D1" t="s">
        <v>56</v>
      </c>
      <c r="E1" t="s">
        <v>6</v>
      </c>
      <c r="F1" t="s">
        <v>56</v>
      </c>
      <c r="G1" t="s">
        <v>15</v>
      </c>
      <c r="H1" t="s">
        <v>56</v>
      </c>
      <c r="I1" t="s">
        <v>2</v>
      </c>
      <c r="J1" t="s">
        <v>56</v>
      </c>
      <c r="K1" t="s">
        <v>16</v>
      </c>
      <c r="L1" t="s">
        <v>56</v>
      </c>
      <c r="M1" t="s">
        <v>18</v>
      </c>
      <c r="N1" t="s">
        <v>56</v>
      </c>
      <c r="O1" t="s">
        <v>124</v>
      </c>
      <c r="P1" t="s">
        <v>125</v>
      </c>
      <c r="Q1" t="s">
        <v>128</v>
      </c>
      <c r="R1" t="s">
        <v>56</v>
      </c>
      <c r="S1" t="s">
        <v>141</v>
      </c>
      <c r="T1" t="s">
        <v>142</v>
      </c>
      <c r="U1" s="62" t="s">
        <v>149</v>
      </c>
      <c r="V1" s="62" t="s">
        <v>56</v>
      </c>
    </row>
    <row r="2" spans="1:22" x14ac:dyDescent="0.2">
      <c r="A2" t="s">
        <v>57</v>
      </c>
      <c r="B2">
        <v>1</v>
      </c>
      <c r="C2" t="s">
        <v>60</v>
      </c>
      <c r="D2">
        <v>1</v>
      </c>
      <c r="E2" t="s">
        <v>63</v>
      </c>
      <c r="F2">
        <v>0</v>
      </c>
      <c r="G2" t="s">
        <v>65</v>
      </c>
      <c r="H2">
        <v>0</v>
      </c>
      <c r="I2" t="s">
        <v>67</v>
      </c>
      <c r="J2">
        <v>0</v>
      </c>
      <c r="K2" t="s">
        <v>67</v>
      </c>
      <c r="L2">
        <v>0</v>
      </c>
      <c r="M2" t="s">
        <v>67</v>
      </c>
      <c r="N2">
        <v>0</v>
      </c>
      <c r="O2" t="s">
        <v>126</v>
      </c>
      <c r="P2">
        <v>1</v>
      </c>
      <c r="Q2" t="s">
        <v>131</v>
      </c>
      <c r="R2">
        <v>1</v>
      </c>
      <c r="S2" t="s">
        <v>144</v>
      </c>
      <c r="T2">
        <v>1</v>
      </c>
      <c r="U2" s="62" t="s">
        <v>151</v>
      </c>
      <c r="V2" s="62">
        <v>0</v>
      </c>
    </row>
    <row r="3" spans="1:22" x14ac:dyDescent="0.2">
      <c r="A3" t="s">
        <v>58</v>
      </c>
      <c r="B3">
        <v>2</v>
      </c>
      <c r="C3" t="s">
        <v>61</v>
      </c>
      <c r="D3">
        <v>3</v>
      </c>
      <c r="E3" t="s">
        <v>64</v>
      </c>
      <c r="F3">
        <v>1</v>
      </c>
      <c r="G3" t="s">
        <v>66</v>
      </c>
      <c r="H3">
        <v>1</v>
      </c>
      <c r="I3" t="s">
        <v>68</v>
      </c>
      <c r="J3">
        <v>1</v>
      </c>
      <c r="K3" t="s">
        <v>71</v>
      </c>
      <c r="L3">
        <v>1</v>
      </c>
      <c r="M3" t="s">
        <v>74</v>
      </c>
      <c r="N3">
        <v>1</v>
      </c>
      <c r="O3" t="s">
        <v>127</v>
      </c>
      <c r="P3">
        <v>2</v>
      </c>
      <c r="Q3" t="s">
        <v>132</v>
      </c>
      <c r="R3">
        <v>2</v>
      </c>
      <c r="S3" t="s">
        <v>145</v>
      </c>
      <c r="T3">
        <v>2</v>
      </c>
      <c r="U3" s="62" t="s">
        <v>150</v>
      </c>
      <c r="V3" s="62">
        <v>1</v>
      </c>
    </row>
    <row r="4" spans="1:22" x14ac:dyDescent="0.2">
      <c r="A4" t="s">
        <v>59</v>
      </c>
      <c r="B4">
        <v>3</v>
      </c>
      <c r="C4" t="s">
        <v>62</v>
      </c>
      <c r="D4">
        <v>4</v>
      </c>
      <c r="I4" t="s">
        <v>69</v>
      </c>
      <c r="J4">
        <v>2</v>
      </c>
      <c r="K4" t="s">
        <v>72</v>
      </c>
      <c r="L4">
        <v>2</v>
      </c>
      <c r="M4" t="s">
        <v>75</v>
      </c>
      <c r="N4">
        <v>2</v>
      </c>
      <c r="O4" t="s">
        <v>130</v>
      </c>
      <c r="P4">
        <v>3</v>
      </c>
      <c r="S4" t="s">
        <v>143</v>
      </c>
      <c r="T4">
        <v>0</v>
      </c>
    </row>
    <row r="5" spans="1:22" x14ac:dyDescent="0.2">
      <c r="C5" t="s">
        <v>90</v>
      </c>
      <c r="D5">
        <v>5</v>
      </c>
      <c r="I5" t="s">
        <v>70</v>
      </c>
      <c r="J5">
        <v>3</v>
      </c>
      <c r="K5" t="s">
        <v>73</v>
      </c>
      <c r="L5">
        <v>3</v>
      </c>
      <c r="M5" t="s">
        <v>76</v>
      </c>
      <c r="N5">
        <v>3</v>
      </c>
    </row>
    <row r="6" spans="1:22" x14ac:dyDescent="0.2">
      <c r="C6" t="s">
        <v>100</v>
      </c>
      <c r="D6">
        <v>2</v>
      </c>
      <c r="M6" t="s">
        <v>102</v>
      </c>
      <c r="N6">
        <v>4</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topLeftCell="A7" workbookViewId="0">
      <selection activeCell="O3" sqref="O3"/>
    </sheetView>
  </sheetViews>
  <sheetFormatPr defaultRowHeight="13.2" x14ac:dyDescent="0.2"/>
  <cols>
    <col min="1" max="1" width="32.88671875" bestFit="1" customWidth="1"/>
    <col min="2" max="3" width="12.33203125" bestFit="1" customWidth="1"/>
    <col min="4" max="4" width="14.44140625" customWidth="1"/>
  </cols>
  <sheetData>
    <row r="1" spans="1:4" x14ac:dyDescent="0.2">
      <c r="B1" t="s">
        <v>9</v>
      </c>
      <c r="C1" t="s">
        <v>10</v>
      </c>
      <c r="D1" t="s">
        <v>13</v>
      </c>
    </row>
    <row r="2" spans="1:4" x14ac:dyDescent="0.2">
      <c r="A2" t="s">
        <v>32</v>
      </c>
      <c r="B2">
        <f>VLOOKUP(入力シート!E11,リストボックス!A1:B4,2,0)</f>
        <v>1</v>
      </c>
    </row>
    <row r="3" spans="1:4" x14ac:dyDescent="0.2">
      <c r="A3" t="s">
        <v>30</v>
      </c>
      <c r="B3">
        <f>VLOOKUP(入力シート!E9,リストボックス!C2:D6,2,0)</f>
        <v>3</v>
      </c>
    </row>
    <row r="4" spans="1:4" x14ac:dyDescent="0.2">
      <c r="A4" s="48" t="s">
        <v>138</v>
      </c>
      <c r="B4" s="61">
        <f>VLOOKUP(入力シート!E10,リストボックス!O1:P4,2,0)</f>
        <v>2</v>
      </c>
    </row>
    <row r="5" spans="1:4" x14ac:dyDescent="0.2">
      <c r="A5" s="61" t="s">
        <v>139</v>
      </c>
      <c r="B5" s="61">
        <f>IFERROR(VLOOKUP(入力シート!G10,リストボックス!Q1:R3,2,0),0)</f>
        <v>1</v>
      </c>
    </row>
    <row r="6" spans="1:4" x14ac:dyDescent="0.2">
      <c r="A6" s="61" t="s">
        <v>146</v>
      </c>
      <c r="B6" s="61">
        <f>IFERROR(VLOOKUP(入力シート!G11,リストボックス!S1:T4,2,0),0)</f>
        <v>1</v>
      </c>
    </row>
    <row r="7" spans="1:4" x14ac:dyDescent="0.2">
      <c r="A7" t="s">
        <v>77</v>
      </c>
      <c r="B7" s="1">
        <f>DATE(入力シート!E8,4,1)</f>
        <v>45383</v>
      </c>
    </row>
    <row r="8" spans="1:4" x14ac:dyDescent="0.2">
      <c r="A8" t="s">
        <v>20</v>
      </c>
      <c r="B8" s="1">
        <f>IF(B3=3,DATE(YEAR(B7)-1,1,1),DATE(YEAR(B7),1,1))</f>
        <v>44927</v>
      </c>
    </row>
    <row r="9" spans="1:4" x14ac:dyDescent="0.2">
      <c r="A9" t="s">
        <v>12</v>
      </c>
      <c r="B9">
        <f>DATEDIF(入力シート!E19,$B$8,"y")</f>
        <v>49</v>
      </c>
      <c r="C9">
        <f>DATEDIF(入力シート!F19,$B$8,"y")</f>
        <v>46</v>
      </c>
      <c r="D9">
        <f>DATEDIF(入力シート!G19,$B$8,"y")</f>
        <v>123</v>
      </c>
    </row>
    <row r="10" spans="1:4" x14ac:dyDescent="0.2">
      <c r="A10" t="s">
        <v>6</v>
      </c>
      <c r="B10">
        <f>VLOOKUP(入力シート!E20,リストボックス!$E$1:$F$3,2,0)</f>
        <v>0</v>
      </c>
      <c r="C10">
        <f>VLOOKUP(入力シート!F20,リストボックス!$E$1:$F$3,2,0)</f>
        <v>0</v>
      </c>
      <c r="D10">
        <f>VLOOKUP(入力シート!G20,リストボックス!$E$1:$F$3,2,0)</f>
        <v>0</v>
      </c>
    </row>
    <row r="11" spans="1:4" x14ac:dyDescent="0.2">
      <c r="A11" t="s">
        <v>21</v>
      </c>
      <c r="B11">
        <f>VLOOKUP(入力シート!E29,リストボックス!$G$1:$H$3,2,0)</f>
        <v>0</v>
      </c>
      <c r="C11">
        <f>VLOOKUP(入力シート!F29,リストボックス!$G$1:$H$3,2,0)</f>
        <v>0</v>
      </c>
      <c r="D11">
        <f>VLOOKUP(入力シート!G29,リストボックス!$G$1:$H$3,2,0)</f>
        <v>0</v>
      </c>
    </row>
    <row r="12" spans="1:4" x14ac:dyDescent="0.2">
      <c r="A12" t="s">
        <v>0</v>
      </c>
      <c r="B12">
        <f>入力シート!E16</f>
        <v>4603200</v>
      </c>
      <c r="C12">
        <f>入力シート!F16</f>
        <v>0</v>
      </c>
      <c r="D12">
        <f>入力シート!G16</f>
        <v>0</v>
      </c>
    </row>
    <row r="13" spans="1:4" x14ac:dyDescent="0.2">
      <c r="A13" t="s">
        <v>1</v>
      </c>
      <c r="B13">
        <f>入力シート!E16-入力シート!E21</f>
        <v>4603200</v>
      </c>
      <c r="C13">
        <f>入力シート!F16-入力シート!F21</f>
        <v>0</v>
      </c>
      <c r="D13">
        <f>入力シート!G16-入力シート!G21</f>
        <v>0</v>
      </c>
    </row>
    <row r="14" spans="1:4" x14ac:dyDescent="0.2">
      <c r="A14" t="s">
        <v>22</v>
      </c>
      <c r="B14">
        <f>IF(VLOOKUP(入力シート!E22,リストボックス!$I$1:$J$5,2,0)&gt;0,1,0)</f>
        <v>0</v>
      </c>
      <c r="C14">
        <f>IF(VLOOKUP(入力シート!F22,リストボックス!$I$1:$J$5,2,0)&gt;0,1,0)</f>
        <v>0</v>
      </c>
      <c r="D14">
        <f>IF(VLOOKUP(入力シート!G22,リストボックス!$I$1:$J$5,2,0)&gt;0,1,0)</f>
        <v>0</v>
      </c>
    </row>
    <row r="15" spans="1:4" x14ac:dyDescent="0.2">
      <c r="A15" t="s">
        <v>23</v>
      </c>
      <c r="B15">
        <f>SUM(B14,入力シート!E23:E26)</f>
        <v>2</v>
      </c>
      <c r="C15">
        <f>SUM(C14,入力シート!F23:F26)</f>
        <v>0</v>
      </c>
      <c r="D15">
        <f>SUM(D14,入力シート!G23:G26)</f>
        <v>0</v>
      </c>
    </row>
    <row r="16" spans="1:4" x14ac:dyDescent="0.2">
      <c r="A16" t="s">
        <v>24</v>
      </c>
      <c r="B16">
        <f>350000*(1+B15)+IF(B15&gt;0,320000,0)+IF(B26=1,100000,0)</f>
        <v>1470000</v>
      </c>
      <c r="C16">
        <f>350000*(1+C15)+IF(C15&gt;0,320000,0)+IF(B26=1,100000,0)</f>
        <v>450000</v>
      </c>
      <c r="D16">
        <f>350000*(1+D15)+IF(D15&gt;0,320000,0)+IF(B26=1,100000,0)</f>
        <v>450000</v>
      </c>
    </row>
    <row r="17" spans="1:5" x14ac:dyDescent="0.2">
      <c r="A17" t="s">
        <v>25</v>
      </c>
      <c r="B17">
        <f>VLOOKUP(入力シート!E17,リストボックス!$K$1:$L$5,2,0)</f>
        <v>0</v>
      </c>
      <c r="C17">
        <f>VLOOKUP(入力シート!F17,リストボックス!$K$1:$L$5,2,0)</f>
        <v>0</v>
      </c>
      <c r="D17">
        <f>VLOOKUP(入力シート!G17,リストボックス!$K$1:$L$5,2,0)</f>
        <v>0</v>
      </c>
    </row>
    <row r="18" spans="1:5" x14ac:dyDescent="0.2">
      <c r="A18" t="s">
        <v>26</v>
      </c>
      <c r="B18">
        <f>VLOOKUP(入力シート!E18,リストボックス!$M$1:$N$6,2,0)</f>
        <v>0</v>
      </c>
      <c r="C18">
        <f>VLOOKUP(入力シート!F18,リストボックス!$M$1:$N$6,2,0)</f>
        <v>0</v>
      </c>
      <c r="D18">
        <f>VLOOKUP(入力シート!G18,リストボックス!$M$1:$N$6,2,0)</f>
        <v>0</v>
      </c>
    </row>
    <row r="19" spans="1:5" x14ac:dyDescent="0.2">
      <c r="A19" t="s">
        <v>27</v>
      </c>
      <c r="B19" s="48">
        <f>IF(YEAR(B8)&gt;2022,IF(B9&lt;18,1,0),IF(B9&lt;20,1,0))</f>
        <v>0</v>
      </c>
      <c r="C19" s="48">
        <f>IF(YEAR(B8)&gt;2022,IF(C9&lt;18,1,0),IF(C9&lt;20,1,0))</f>
        <v>0</v>
      </c>
      <c r="D19" s="48">
        <f>IF(YEAR(B8)&gt;2022,IF(D9&lt;18,1,0),IF(D9&lt;20,1,0))</f>
        <v>0</v>
      </c>
    </row>
    <row r="20" spans="1:5" x14ac:dyDescent="0.2">
      <c r="A20" t="s">
        <v>28</v>
      </c>
      <c r="B20">
        <f>IF(SUM(B17:B19)&gt;0,1250000+IF(B26=1,100000,0),0)</f>
        <v>0</v>
      </c>
      <c r="C20">
        <f>IF(SUM(C17:C19)&gt;0,1250000+IF(B26=1,100000,0),0)</f>
        <v>0</v>
      </c>
      <c r="D20">
        <f>IF(SUM(D17:D19)&gt;0,1250000+IF(B26=1,100000,0),0)</f>
        <v>0</v>
      </c>
    </row>
    <row r="21" spans="1:5" x14ac:dyDescent="0.2">
      <c r="A21" t="s">
        <v>29</v>
      </c>
      <c r="B21">
        <f>入力シート!E27</f>
        <v>2597000</v>
      </c>
      <c r="C21">
        <f>入力シート!F27</f>
        <v>0</v>
      </c>
      <c r="D21">
        <f>入力シート!G27</f>
        <v>0</v>
      </c>
    </row>
    <row r="22" spans="1:5" x14ac:dyDescent="0.2">
      <c r="A22" t="s">
        <v>117</v>
      </c>
      <c r="B22" s="40">
        <f>SUM(入力シート!E28)*IF(B11=1,3/4,1)</f>
        <v>1500</v>
      </c>
      <c r="C22" s="40">
        <f>SUM(入力シート!F28)*IF(C11=1,3/4,1)</f>
        <v>0</v>
      </c>
      <c r="D22" s="40">
        <f>SUM(入力シート!G28)*IF(D11=1,3/4,1)</f>
        <v>0</v>
      </c>
    </row>
    <row r="23" spans="1:5" x14ac:dyDescent="0.2">
      <c r="A23" t="s">
        <v>33</v>
      </c>
      <c r="B23">
        <f>IF(OR(B10=1,B12&lt;=B20,B13&lt;=B16),1,0)</f>
        <v>0</v>
      </c>
      <c r="C23">
        <f>IF(OR(C10=1,C12&lt;=C20,C13&lt;=C16),1,0)</f>
        <v>1</v>
      </c>
      <c r="D23">
        <f>IF(OR(D10=1,D12&lt;=D20,D13&lt;=D16),1,0)</f>
        <v>1</v>
      </c>
    </row>
    <row r="24" spans="1:5" x14ac:dyDescent="0.2">
      <c r="A24" t="s">
        <v>122</v>
      </c>
      <c r="B24">
        <f>MAX(0,IF(B2=3,0,IF(B23=1,0,ROUNDDOWN(B21*0.06-B22,-2))))</f>
        <v>154300</v>
      </c>
      <c r="C24">
        <f>MAX(0,IF(B2=1,IF(C23=1,0,ROUNDDOWN(C21*0.06-C22,-2)),0))</f>
        <v>0</v>
      </c>
      <c r="D24">
        <f>MAX(0,IF(D23=1,0,ROUNDDOWN(D21*0.06-D22,-2)))</f>
        <v>0</v>
      </c>
    </row>
    <row r="25" spans="1:5" x14ac:dyDescent="0.2">
      <c r="A25" t="s">
        <v>8</v>
      </c>
      <c r="B25" t="str">
        <f>IF(AND(B3=2,入力シート!E8&gt;=2020),"エラー",IF(入力シート!E8=0,"年度が入力されていません",IF(SUM(B32:C32,D24)&lt;100,"第Ⅰ区分",IF(SUM(B32:C32,D24)&lt;25600,"第Ⅱ区分",IF(SUM(B32:C32,D24)&lt;51300,"第Ⅲ区分","対象外")))))</f>
        <v>対象外</v>
      </c>
    </row>
    <row r="26" spans="1:5" x14ac:dyDescent="0.2">
      <c r="A26" t="s">
        <v>98</v>
      </c>
      <c r="B26">
        <f>IF(入力シート!E8&lt;2021,0,IF(AND(入力シート!E8=2021,B3=3),0,1))</f>
        <v>1</v>
      </c>
      <c r="E26" t="s">
        <v>99</v>
      </c>
    </row>
    <row r="27" spans="1:5" x14ac:dyDescent="0.2">
      <c r="A27" t="s">
        <v>103</v>
      </c>
      <c r="B27">
        <f>IF(YEAR(B8)&gt;2021,1,0)</f>
        <v>1</v>
      </c>
      <c r="E27" t="s">
        <v>108</v>
      </c>
    </row>
    <row r="28" spans="1:5" x14ac:dyDescent="0.2">
      <c r="A28" t="s">
        <v>107</v>
      </c>
      <c r="B28">
        <f>DATEDIF(入力シート!G19,$B$8-1,"y")</f>
        <v>122</v>
      </c>
    </row>
    <row r="29" spans="1:5" x14ac:dyDescent="0.2">
      <c r="A29" t="s">
        <v>106</v>
      </c>
      <c r="B29">
        <f>IFERROR(VALUE(TEXT(MONTH(入力シート!G19),"00")&amp;TEXT(DAY(入力シート!G19),"00")),1000)</f>
        <v>100</v>
      </c>
    </row>
    <row r="30" spans="1:5" x14ac:dyDescent="0.2">
      <c r="A30" t="s">
        <v>105</v>
      </c>
      <c r="B30">
        <f>IFERROR(IF(AND(B27=1,B28=18,B29&gt;101,B29&lt;=401),1,0),0)</f>
        <v>0</v>
      </c>
    </row>
    <row r="31" spans="1:5" x14ac:dyDescent="0.2">
      <c r="A31" t="s">
        <v>104</v>
      </c>
      <c r="B31">
        <f>IF(AND($B$30=1,SUM(入力シート!E23)&gt;0,IF(SUM(入力シート!F23)&gt;0,IF(B24&gt;=C24,1,0),1)&gt;0),7200,0)</f>
        <v>0</v>
      </c>
      <c r="C31">
        <f>IF(AND($B$30=1,SUM(入力シート!F23)&gt;0,IF(SUM(入力シート!E23)&gt;0,IF(B24&lt;C24,1,0),1)&gt;0),7200,0)</f>
        <v>0</v>
      </c>
    </row>
    <row r="32" spans="1:5" x14ac:dyDescent="0.2">
      <c r="A32" t="s">
        <v>121</v>
      </c>
      <c r="B32">
        <f>IFERROR(MAX(0,B24-B31),B24)</f>
        <v>154300</v>
      </c>
      <c r="C32">
        <f>IFERROR(MAX(0,C24-C31),C24)</f>
        <v>0</v>
      </c>
    </row>
    <row r="33" spans="1:4" x14ac:dyDescent="0.2">
      <c r="A33" s="48" t="s">
        <v>118</v>
      </c>
      <c r="B33" s="61">
        <f>IF(AND(B2&gt;1,OR(AND(B2=2,B6&gt;0),SUM(B18:D18)&gt;0)),40000,0)</f>
        <v>0</v>
      </c>
    </row>
    <row r="34" spans="1:4" x14ac:dyDescent="0.2">
      <c r="A34" s="61" t="s">
        <v>119</v>
      </c>
      <c r="B34" s="61">
        <f>MAX((MIN(SUM(入力シート!E23:G24,入力シート!E26:G26),SUM(入力シート!E30:G30))-2)*40000,0)</f>
        <v>0</v>
      </c>
    </row>
    <row r="35" spans="1:4" x14ac:dyDescent="0.2">
      <c r="A35" s="63" t="s">
        <v>123</v>
      </c>
      <c r="B35" s="63">
        <f>IF(OR(B42&gt;0,C42&gt;0,D42&gt;0),22000,0)</f>
        <v>0</v>
      </c>
    </row>
    <row r="36" spans="1:4" x14ac:dyDescent="0.2">
      <c r="A36" s="61" t="s">
        <v>120</v>
      </c>
      <c r="B36" s="61">
        <f>IF(B2&lt;3,MAX(SUM(B32:C32)-SUM(B33:B35),0),D24-SUM(B33:B35))</f>
        <v>154300</v>
      </c>
    </row>
    <row r="37" spans="1:4" x14ac:dyDescent="0.2">
      <c r="A37" s="61" t="s">
        <v>134</v>
      </c>
      <c r="B37" s="61">
        <f>IF(B36&lt;=189400,1,0)</f>
        <v>1</v>
      </c>
    </row>
    <row r="38" spans="1:4" x14ac:dyDescent="0.2">
      <c r="A38" s="61" t="s">
        <v>135</v>
      </c>
      <c r="B38" s="61">
        <f>IF(B36&lt;=381500,1,0)</f>
        <v>1</v>
      </c>
    </row>
    <row r="39" spans="1:4" x14ac:dyDescent="0.2">
      <c r="A39" s="61" t="s">
        <v>136</v>
      </c>
      <c r="B39" s="61">
        <f>IF(B36&lt;=164600,1,0)</f>
        <v>1</v>
      </c>
    </row>
    <row r="40" spans="1:4" x14ac:dyDescent="0.2">
      <c r="A40" s="61" t="s">
        <v>137</v>
      </c>
      <c r="B40" s="61" t="str">
        <f>IF(B4=1,IF(B37=1,"第一種奨学金の家計基準に適格","家計基準不適格"),IF(B4=2,IF(B38=1,"第二種奨学金の家計基準に適格","家計基準不適格"),IF(B4=3,IF(B39=1,"併用の家計基準に適格",IF(B5=1,IF(B37=1,"第一種奨学金の家計基準に適格",IF(B38=1,"第二種奨学金の家計基準に適格","家計基準不適格")),IF(B38=1,"第二種奨学金の家計基準に適格","家計基準不適格"))))))</f>
        <v>第二種奨学金の家計基準に適格</v>
      </c>
    </row>
    <row r="42" spans="1:4" x14ac:dyDescent="0.2">
      <c r="A42" s="63" t="s">
        <v>152</v>
      </c>
      <c r="B42" s="62">
        <f>VLOOKUP(入力シート!E38,リストボックス!$U$1:$V$3,2,0)</f>
        <v>0</v>
      </c>
      <c r="C42" s="62">
        <f>VLOOKUP(入力シート!F38,リストボックス!$U$1:$V$3,2,0)</f>
        <v>0</v>
      </c>
      <c r="D42" s="62">
        <f>VLOOKUP(入力シート!G38,リストボックス!$U$1:$V$3,2,0)</f>
        <v>0</v>
      </c>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O3" sqref="O3"/>
    </sheetView>
  </sheetViews>
  <sheetFormatPr defaultRowHeight="13.2" x14ac:dyDescent="0.2"/>
  <cols>
    <col min="1" max="1" width="11.6640625" bestFit="1" customWidth="1"/>
  </cols>
  <sheetData>
    <row r="1" spans="1:2" x14ac:dyDescent="0.2">
      <c r="A1" s="1">
        <v>45005</v>
      </c>
      <c r="B1" t="s">
        <v>101</v>
      </c>
    </row>
    <row r="2" spans="1:2" x14ac:dyDescent="0.2">
      <c r="A2" s="1">
        <v>45219</v>
      </c>
    </row>
    <row r="3" spans="1:2" x14ac:dyDescent="0.2">
      <c r="A3" s="1"/>
    </row>
    <row r="4" spans="1:2" x14ac:dyDescent="0.2">
      <c r="A4" s="1"/>
    </row>
    <row r="5" spans="1:2" x14ac:dyDescent="0.2">
      <c r="A5" s="1"/>
    </row>
    <row r="6" spans="1:2" x14ac:dyDescent="0.2">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入力例及び課税証明書の例を用いた入力項目の案内</vt:lpstr>
      <vt:lpstr>リストボックス</vt:lpstr>
      <vt:lpstr>計算シート</vt:lpstr>
      <vt:lpstr>修正履歴</vt:lpstr>
      <vt:lpstr>入力シート!Print_Area</vt:lpstr>
      <vt:lpstr>入力例及び課税証明書の例を用いた入力項目の案内!Print_Area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支給額算定基準額判定ツール</dc:title>
  <dc:creator>JASSO</dc:creator>
  <cp:lastModifiedBy>日野友里子</cp:lastModifiedBy>
  <cp:lastPrinted>2023-10-16T05:53:44Z</cp:lastPrinted>
  <dcterms:created xsi:type="dcterms:W3CDTF">2006-09-16T00:00:00Z</dcterms:created>
  <dcterms:modified xsi:type="dcterms:W3CDTF">2023-10-24T01:00:44Z</dcterms:modified>
</cp:coreProperties>
</file>